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rican0-my.sharepoint.com/personal/ms7375a_american_edu/Documents/Ford_Valuation/"/>
    </mc:Choice>
  </mc:AlternateContent>
  <xr:revisionPtr revIDLastSave="71" documentId="8_{DBF2520C-94A4-4C72-A32C-3AEE7137EA95}" xr6:coauthVersionLast="47" xr6:coauthVersionMax="47" xr10:uidLastSave="{58CEADA1-D7F2-4AD4-ACF0-65915D033DD9}"/>
  <bookViews>
    <workbookView xWindow="-120" yWindow="-120" windowWidth="29040" windowHeight="15720" firstSheet="6" activeTab="6" xr2:uid="{00000000-000D-0000-FFFF-FFFF00000000}"/>
  </bookViews>
  <sheets>
    <sheet name="Rev FY23 Estimate" sheetId="1" r:id="rId1"/>
    <sheet name="Rev FY24 Estimates" sheetId="4" r:id="rId2"/>
    <sheet name="Rev FY25 Estimate" sheetId="2" r:id="rId3"/>
    <sheet name="Compiled Estimate" sheetId="3" r:id="rId4"/>
    <sheet name="EPS Estimates" sheetId="15" r:id="rId5"/>
    <sheet name="PE Table " sheetId="5" r:id="rId6"/>
    <sheet name="PS Table " sheetId="16" r:id="rId7"/>
    <sheet name="PS FY23 Estimates" sheetId="7" r:id="rId8"/>
    <sheet name="PS FY24 Estimates" sheetId="8" r:id="rId9"/>
    <sheet name="PS FY25 Estimates" sheetId="9" r:id="rId10"/>
    <sheet name="Prompt" sheetId="6" r:id="rId11"/>
    <sheet name="WACC" sheetId="10" r:id="rId12"/>
    <sheet name="Ford-DCF" sheetId="11" r:id="rId13"/>
    <sheet name="Ford Motor Co | Cash Flow " sheetId="12" r:id="rId14"/>
    <sheet name="Ford Motor Co | Balance Sheet " sheetId="13" r:id="rId15"/>
    <sheet name="Ford Motor Co | Income Statemen" sheetId="14" r:id="rId16"/>
  </sheets>
  <externalReferences>
    <externalReference r:id="rId17"/>
  </externalReferences>
  <definedNames>
    <definedName name="CIQWBGuid" hidden="1">"43319a7a-97a7-481b-bf0c-21f7395e6aae"</definedName>
    <definedName name="Company_Name">'Ford-DCF'!$F$8</definedName>
    <definedName name="Cost_of_Debt">WACC!$F$8</definedName>
    <definedName name="Cost_of_Preferred">WACC!$F$9</definedName>
    <definedName name="Diluted_Shares">'Ford-DCF'!$K$20</definedName>
    <definedName name="Discount_Rate">'Ford-DCF'!$F$12</definedName>
    <definedName name="Equity_Risk_Premium">WACC!$F$7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44312.5383796296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ultiples_Method">'Ford-DCF'!$K$8</definedName>
    <definedName name="_xlnm.Print_Area" localSheetId="12">'Ford-DCF'!$A$92:$S$126</definedName>
    <definedName name="_xlnm.Print_Area" localSheetId="11">WACC!$A$1:$Q$43</definedName>
    <definedName name="Risk_Free_Rate">WACC!$F$6</definedName>
    <definedName name="Share_Price">'Ford-DCF'!$F$9</definedName>
    <definedName name="Tax_Rate">'Ford-DCF'!$F$11</definedName>
    <definedName name="Terminal_Growth_Rate">'Ford-DCF'!$F$20</definedName>
    <definedName name="Terminal_Multiple">'Ford-DCF'!$F$15</definedName>
    <definedName name="Ticker">'Ford-DCF'!$H$2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6" l="1"/>
  <c r="J17" i="16"/>
  <c r="K17" i="16"/>
  <c r="I18" i="16"/>
  <c r="J18" i="16"/>
  <c r="K18" i="16"/>
  <c r="I19" i="16"/>
  <c r="J19" i="16"/>
  <c r="K19" i="16"/>
  <c r="I20" i="16"/>
  <c r="J20" i="16"/>
  <c r="K20" i="16"/>
  <c r="E18" i="16"/>
  <c r="E19" i="16"/>
  <c r="E20" i="16"/>
  <c r="E17" i="16"/>
  <c r="D17" i="16"/>
  <c r="C17" i="16"/>
  <c r="D19" i="16"/>
  <c r="D20" i="16"/>
  <c r="D18" i="16"/>
  <c r="C19" i="16"/>
  <c r="C20" i="16"/>
  <c r="C18" i="16"/>
  <c r="B20" i="16"/>
  <c r="E11" i="16"/>
  <c r="D3" i="16"/>
  <c r="B19" i="16"/>
  <c r="E9" i="16"/>
  <c r="D4" i="16"/>
  <c r="B18" i="16"/>
  <c r="B5" i="16"/>
  <c r="K11" i="16"/>
  <c r="K10" i="16"/>
  <c r="K9" i="16"/>
  <c r="K8" i="16"/>
  <c r="K18" i="5"/>
  <c r="K19" i="5"/>
  <c r="K20" i="5"/>
  <c r="J18" i="5"/>
  <c r="J19" i="5"/>
  <c r="J20" i="5"/>
  <c r="K17" i="5"/>
  <c r="J17" i="5"/>
  <c r="I18" i="5"/>
  <c r="I19" i="5"/>
  <c r="I20" i="5"/>
  <c r="I17" i="5"/>
  <c r="D18" i="5"/>
  <c r="E18" i="5"/>
  <c r="D17" i="5"/>
  <c r="E17" i="5"/>
  <c r="C17" i="5"/>
  <c r="D20" i="5"/>
  <c r="E20" i="5"/>
  <c r="C20" i="5"/>
  <c r="C18" i="5"/>
  <c r="J11" i="5" l="1"/>
  <c r="J8" i="5"/>
  <c r="J9" i="5"/>
  <c r="J10" i="5"/>
  <c r="B19" i="5" s="1"/>
  <c r="E19" i="5" l="1"/>
  <c r="D19" i="5"/>
  <c r="C19" i="5"/>
  <c r="B38" i="12" l="1"/>
  <c r="I119" i="11"/>
  <c r="G119" i="11"/>
  <c r="H118" i="11"/>
  <c r="F118" i="11"/>
  <c r="H117" i="11"/>
  <c r="F117" i="11"/>
  <c r="J82" i="11"/>
  <c r="K82" i="11" s="1"/>
  <c r="L82" i="11" s="1"/>
  <c r="M82" i="11" s="1"/>
  <c r="H82" i="11"/>
  <c r="G82" i="11"/>
  <c r="F82" i="11" s="1"/>
  <c r="E82" i="11" s="1"/>
  <c r="C117" i="11" s="1"/>
  <c r="D74" i="11"/>
  <c r="D75" i="11" s="1"/>
  <c r="D76" i="11" s="1"/>
  <c r="D77" i="11" s="1"/>
  <c r="D72" i="11"/>
  <c r="D71" i="11" s="1"/>
  <c r="D70" i="11" s="1"/>
  <c r="D69" i="11" s="1"/>
  <c r="F68" i="11"/>
  <c r="G68" i="11" s="1"/>
  <c r="H68" i="11" s="1"/>
  <c r="I68" i="11" s="1"/>
  <c r="J68" i="11" s="1"/>
  <c r="K68" i="11" s="1"/>
  <c r="L68" i="11" s="1"/>
  <c r="M68" i="11" s="1"/>
  <c r="C118" i="11" s="1"/>
  <c r="J55" i="11"/>
  <c r="I55" i="11"/>
  <c r="H55" i="11"/>
  <c r="G55" i="11"/>
  <c r="F55" i="11"/>
  <c r="J50" i="11"/>
  <c r="I50" i="11"/>
  <c r="H50" i="11"/>
  <c r="G50" i="11"/>
  <c r="F50" i="11"/>
  <c r="J49" i="11"/>
  <c r="I49" i="11"/>
  <c r="H49" i="11"/>
  <c r="G49" i="11"/>
  <c r="F49" i="11"/>
  <c r="J48" i="11"/>
  <c r="I48" i="11"/>
  <c r="H48" i="11"/>
  <c r="G48" i="11"/>
  <c r="F48" i="11"/>
  <c r="J47" i="11"/>
  <c r="I47" i="11"/>
  <c r="I51" i="11" s="1"/>
  <c r="H47" i="11"/>
  <c r="H51" i="11" s="1"/>
  <c r="G47" i="11"/>
  <c r="F47" i="11"/>
  <c r="J42" i="11"/>
  <c r="I42" i="11"/>
  <c r="H42" i="11"/>
  <c r="G42" i="11"/>
  <c r="G43" i="11" s="1"/>
  <c r="F42" i="11"/>
  <c r="F43" i="11" s="1"/>
  <c r="J40" i="11"/>
  <c r="I40" i="11"/>
  <c r="H40" i="11"/>
  <c r="G40" i="11"/>
  <c r="F40" i="11"/>
  <c r="J31" i="11"/>
  <c r="I31" i="11"/>
  <c r="H31" i="11"/>
  <c r="I33" i="11" s="1"/>
  <c r="G31" i="11"/>
  <c r="F31" i="11"/>
  <c r="F33" i="11" s="1"/>
  <c r="J29" i="11"/>
  <c r="K29" i="11" s="1"/>
  <c r="L29" i="11" s="1"/>
  <c r="M29" i="11" s="1"/>
  <c r="N29" i="11" s="1"/>
  <c r="O29" i="11" s="1"/>
  <c r="I29" i="11"/>
  <c r="H29" i="11"/>
  <c r="G29" i="11"/>
  <c r="F29" i="11"/>
  <c r="F30" i="11" s="1"/>
  <c r="K27" i="11"/>
  <c r="L27" i="11" s="1"/>
  <c r="M27" i="11" s="1"/>
  <c r="N27" i="11" s="1"/>
  <c r="O27" i="11" s="1"/>
  <c r="I27" i="11"/>
  <c r="H27" i="11"/>
  <c r="G27" i="11"/>
  <c r="F27" i="11" s="1"/>
  <c r="B27" i="11"/>
  <c r="J25" i="11"/>
  <c r="K25" i="11" s="1"/>
  <c r="L25" i="11" s="1"/>
  <c r="M25" i="11" s="1"/>
  <c r="K20" i="11"/>
  <c r="P20" i="11" s="1"/>
  <c r="K17" i="11"/>
  <c r="P17" i="11" s="1"/>
  <c r="F11" i="11"/>
  <c r="B6" i="11"/>
  <c r="B2" i="11"/>
  <c r="L34" i="10"/>
  <c r="C30" i="10"/>
  <c r="K29" i="10"/>
  <c r="K30" i="10" s="1"/>
  <c r="I29" i="10"/>
  <c r="C29" i="10"/>
  <c r="B26" i="10"/>
  <c r="B24" i="10"/>
  <c r="K22" i="10"/>
  <c r="J22" i="10"/>
  <c r="J30" i="10" s="1"/>
  <c r="I30" i="10" s="1"/>
  <c r="G22" i="10"/>
  <c r="F22" i="10"/>
  <c r="F30" i="10" s="1"/>
  <c r="E30" i="10" s="1"/>
  <c r="E22" i="10"/>
  <c r="D22" i="10"/>
  <c r="I20" i="10"/>
  <c r="H20" i="10"/>
  <c r="L20" i="10" s="1"/>
  <c r="I19" i="10"/>
  <c r="H19" i="10"/>
  <c r="L19" i="10" s="1"/>
  <c r="I18" i="10"/>
  <c r="H18" i="10"/>
  <c r="L18" i="10" s="1"/>
  <c r="I17" i="10"/>
  <c r="H17" i="10"/>
  <c r="L17" i="10" s="1"/>
  <c r="I16" i="10"/>
  <c r="H16" i="10"/>
  <c r="I15" i="10"/>
  <c r="H15" i="10"/>
  <c r="L15" i="10" s="1"/>
  <c r="B2" i="10"/>
  <c r="G118" i="11" l="1"/>
  <c r="H22" i="10"/>
  <c r="H30" i="10" s="1"/>
  <c r="G30" i="10" s="1"/>
  <c r="I22" i="10"/>
  <c r="L40" i="10"/>
  <c r="G30" i="11"/>
  <c r="H30" i="11"/>
  <c r="G33" i="11"/>
  <c r="I32" i="11"/>
  <c r="F61" i="11"/>
  <c r="F62" i="11" s="1"/>
  <c r="H44" i="11"/>
  <c r="H43" i="11"/>
  <c r="I44" i="11"/>
  <c r="I43" i="11"/>
  <c r="J44" i="11"/>
  <c r="J43" i="11"/>
  <c r="F51" i="11"/>
  <c r="G51" i="11"/>
  <c r="J51" i="11"/>
  <c r="G117" i="11"/>
  <c r="J61" i="11"/>
  <c r="J33" i="11"/>
  <c r="I30" i="11"/>
  <c r="G35" i="11"/>
  <c r="G37" i="11" s="1"/>
  <c r="G58" i="11" s="1"/>
  <c r="H52" i="11"/>
  <c r="I52" i="11"/>
  <c r="H41" i="11"/>
  <c r="F56" i="11"/>
  <c r="G56" i="11"/>
  <c r="K31" i="11"/>
  <c r="L31" i="11" s="1"/>
  <c r="M31" i="11" s="1"/>
  <c r="F32" i="11"/>
  <c r="J56" i="11"/>
  <c r="G41" i="11"/>
  <c r="I41" i="11"/>
  <c r="H56" i="11"/>
  <c r="I56" i="11"/>
  <c r="F35" i="11"/>
  <c r="F37" i="11" s="1"/>
  <c r="F58" i="11" s="1"/>
  <c r="F59" i="11" s="1"/>
  <c r="F52" i="11"/>
  <c r="F53" i="11"/>
  <c r="G52" i="11"/>
  <c r="G53" i="11"/>
  <c r="J52" i="11"/>
  <c r="J53" i="11"/>
  <c r="L16" i="10"/>
  <c r="L22" i="10" s="1"/>
  <c r="G32" i="11"/>
  <c r="H35" i="11"/>
  <c r="H37" i="11" s="1"/>
  <c r="H58" i="11" s="1"/>
  <c r="H32" i="11"/>
  <c r="I35" i="11"/>
  <c r="I37" i="11" s="1"/>
  <c r="I58" i="11" s="1"/>
  <c r="J32" i="11"/>
  <c r="I53" i="11"/>
  <c r="G61" i="11"/>
  <c r="G62" i="11" s="1"/>
  <c r="J30" i="11"/>
  <c r="H61" i="11"/>
  <c r="I61" i="11"/>
  <c r="I62" i="11" s="1"/>
  <c r="H53" i="11"/>
  <c r="F41" i="11"/>
  <c r="K61" i="11"/>
  <c r="H33" i="11"/>
  <c r="J41" i="11"/>
  <c r="J35" i="11"/>
  <c r="J37" i="11" s="1"/>
  <c r="J58" i="11" s="1"/>
  <c r="K41" i="11" l="1"/>
  <c r="J62" i="11"/>
  <c r="H59" i="11"/>
  <c r="K56" i="11"/>
  <c r="K55" i="11" s="1"/>
  <c r="L32" i="11"/>
  <c r="K32" i="11"/>
  <c r="L35" i="11"/>
  <c r="L42" i="11" s="1"/>
  <c r="L44" i="11" s="1"/>
  <c r="K62" i="11"/>
  <c r="L61" i="11"/>
  <c r="L62" i="11" s="1"/>
  <c r="G59" i="11"/>
  <c r="K35" i="11"/>
  <c r="K42" i="11" s="1"/>
  <c r="K44" i="11" s="1"/>
  <c r="D30" i="10"/>
  <c r="L30" i="10" s="1"/>
  <c r="L33" i="10" s="1"/>
  <c r="L39" i="10" s="1"/>
  <c r="D29" i="10"/>
  <c r="L29" i="10" s="1"/>
  <c r="L32" i="10" s="1"/>
  <c r="L38" i="10" s="1"/>
  <c r="L42" i="10" s="1"/>
  <c r="F12" i="11" s="1"/>
  <c r="I59" i="11"/>
  <c r="J59" i="11"/>
  <c r="M32" i="11"/>
  <c r="M61" i="11"/>
  <c r="M62" i="11" s="1"/>
  <c r="M35" i="11"/>
  <c r="M42" i="11" s="1"/>
  <c r="M44" i="11" s="1"/>
  <c r="N31" i="11"/>
  <c r="L41" i="11"/>
  <c r="H62" i="11"/>
  <c r="K52" i="11"/>
  <c r="L37" i="11" l="1"/>
  <c r="K37" i="11"/>
  <c r="L56" i="11"/>
  <c r="K51" i="11"/>
  <c r="K53" i="11" s="1"/>
  <c r="L52" i="11"/>
  <c r="L51" i="11" s="1"/>
  <c r="L53" i="11" s="1"/>
  <c r="M41" i="11"/>
  <c r="O31" i="11"/>
  <c r="N61" i="11"/>
  <c r="N62" i="11" s="1"/>
  <c r="N32" i="11"/>
  <c r="N35" i="11"/>
  <c r="N42" i="11" s="1"/>
  <c r="N44" i="11" s="1"/>
  <c r="M37" i="11"/>
  <c r="N37" i="11" l="1"/>
  <c r="L55" i="11"/>
  <c r="L58" i="11" s="1"/>
  <c r="M56" i="11"/>
  <c r="N56" i="11" s="1"/>
  <c r="M55" i="11"/>
  <c r="M52" i="11"/>
  <c r="M51" i="11" s="1"/>
  <c r="M53" i="11" s="1"/>
  <c r="O61" i="11"/>
  <c r="O35" i="11"/>
  <c r="O42" i="11" s="1"/>
  <c r="O44" i="11" s="1"/>
  <c r="O32" i="11"/>
  <c r="K58" i="11"/>
  <c r="N52" i="11"/>
  <c r="N51" i="11" s="1"/>
  <c r="N53" i="11" s="1"/>
  <c r="N41" i="11"/>
  <c r="O41" i="11" s="1"/>
  <c r="N55" i="11"/>
  <c r="O56" i="11"/>
  <c r="O55" i="11" s="1"/>
  <c r="O37" i="11" l="1"/>
  <c r="M58" i="11"/>
  <c r="M59" i="11" s="1"/>
  <c r="O52" i="11"/>
  <c r="O51" i="11" s="1"/>
  <c r="O53" i="11" s="1"/>
  <c r="K59" i="11"/>
  <c r="L59" i="11"/>
  <c r="F16" i="11"/>
  <c r="O62" i="11"/>
  <c r="N58" i="11"/>
  <c r="N59" i="11" s="1"/>
  <c r="O58" i="11" l="1"/>
  <c r="K11" i="11"/>
  <c r="F21" i="11"/>
  <c r="O59" i="11"/>
  <c r="F17" i="11"/>
  <c r="K10" i="11"/>
  <c r="P11" i="11"/>
  <c r="F22" i="11" l="1"/>
  <c r="P10" i="11"/>
  <c r="K12" i="11"/>
  <c r="K19" i="11" s="1"/>
  <c r="K22" i="11" s="1"/>
  <c r="K23" i="11" l="1"/>
  <c r="D82" i="11"/>
  <c r="I117" i="11"/>
  <c r="P12" i="11"/>
  <c r="P19" i="11" s="1"/>
  <c r="P22" i="11" s="1"/>
  <c r="K15" i="11"/>
  <c r="D68" i="11" l="1"/>
  <c r="I118" i="11"/>
  <c r="P23" i="11"/>
  <c r="P1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auadmin</author>
    <author>BIWS</author>
  </authors>
  <commentList>
    <comment ref="B6" authorId="0" shapeId="0" xr:uid="{14AFD457-CB68-4829-A73D-DD946DFA8CFF}">
      <text>
        <r>
          <rPr>
            <b/>
            <sz val="9"/>
            <color indexed="81"/>
            <rFont val="Tahoma"/>
            <family val="2"/>
          </rPr>
          <t>The Risk-Free Rate (RFR) represents what you could earn on “safe” government bonds denominated in the same currency as this company’s cash flows. So if it’s a French company but it has mostly U.S.-based customers, and it records its financials in US Dollars, you would use the current rate on U.S. Treasury bonds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1" shapeId="0" xr:uid="{7DFDC054-03FC-45EF-A05C-37C617112FAF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10-Year US Treasury rate as of the valuation date.</t>
        </r>
      </text>
    </comment>
    <comment ref="B7" authorId="0" shapeId="0" xr:uid="{A8341A70-7504-4C39-B310-4E86189C8D0B}">
      <text>
        <r>
          <rPr>
            <b/>
            <sz val="9"/>
            <color indexed="81"/>
            <rFont val="Tahoma"/>
            <family val="2"/>
          </rPr>
          <t>Equity Risk Premium (ERP) represents the percentage the stock market will return each year, on average, above and beyond the rate on “safe” government bonds.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1" shapeId="0" xr:uid="{DD1D9EFA-7CFE-4062-8D58-4021326C599C}">
      <text>
        <r>
          <rPr>
            <sz val="9"/>
            <color rgb="FF000000"/>
            <rFont val="Tahoma"/>
            <family val="2"/>
          </rPr>
          <t>Roughly in the middle of the typical range of 4-7% given in textbooks and other sources; implies a long-term stock market return of 8-10%. Use Thomson Reuters and/or Bloomberg</t>
        </r>
      </text>
    </comment>
    <comment ref="F8" authorId="1" shapeId="0" xr:uid="{3C2B0DD7-6B3B-424B-A0B6-CDA74ED741E1}">
      <text>
        <r>
          <rPr>
            <sz val="9"/>
            <color rgb="FF000000"/>
            <rFont val="Tahoma"/>
            <family val="2"/>
          </rPr>
          <t>Based on weighted-average YTM on the company's current bonds outstanding.</t>
        </r>
      </text>
    </comment>
    <comment ref="F9" authorId="1" shapeId="0" xr:uid="{A92948F2-F0E1-4BF9-8AE6-BC8E3C10F347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outstanding Preferred Stock.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  <author>auadmin</author>
    <author>Octavian Ionici</author>
    <author>Administrator</author>
  </authors>
  <commentList>
    <comment ref="F11" authorId="0" shapeId="0" xr:uid="{DB8B1EE5-F1F6-4CB0-9D31-ADE0BC5206C6}">
      <text>
        <r>
          <rPr>
            <sz val="9"/>
            <color rgb="FF000000"/>
            <rFont val="Tahoma"/>
            <family val="2"/>
          </rPr>
          <t>Choose the most recent Annual Effective tax rate or the Average of the Effective Tax Rates from the previous 2 years from the most recent 10-K Annual Report.</t>
        </r>
      </text>
    </comment>
    <comment ref="F12" authorId="0" shapeId="0" xr:uid="{EAF5D928-BDCA-4252-840F-CAD907A52A08}">
      <text>
        <r>
          <rPr>
            <sz val="9"/>
            <color rgb="FF000000"/>
            <rFont val="Tahoma"/>
            <family val="2"/>
          </rPr>
          <t xml:space="preserve">Would normally come from WACC sheet we used in class or WACC analysis based on comps </t>
        </r>
      </text>
    </comment>
    <comment ref="F15" authorId="1" shapeId="0" xr:uid="{C0A7ACAF-5DC4-47E4-B5AD-8A5821BC19A1}">
      <text>
        <r>
          <rPr>
            <b/>
            <sz val="9"/>
            <color rgb="FF000000"/>
            <rFont val="Tahoma"/>
            <family val="2"/>
          </rPr>
          <t>Next 12 mo EV/EBITDA multiple from the Peers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17" authorId="0" shapeId="0" xr:uid="{BFA0B986-F856-48A7-A427-E7BC5C3F1824}">
      <text>
        <r>
          <rPr>
            <sz val="9"/>
            <color rgb="FF000000"/>
            <rFont val="Tahoma"/>
            <family val="2"/>
          </rPr>
          <t>=Tot LT Debt + Current Portion of LT Debt -Cash -Restricted Cash- Convertible debt if it is converted to equity</t>
        </r>
      </text>
    </comment>
    <comment ref="P17" authorId="0" shapeId="0" xr:uid="{59CC2BF3-091D-4159-820C-8AED8271B470}">
      <text>
        <r>
          <rPr>
            <sz val="9"/>
            <color rgb="FF000000"/>
            <rFont val="Tahoma"/>
            <family val="2"/>
          </rPr>
          <t>=Tot LT Debt + Current Portion of LT Debt -Cash -Restricted Cash- Convertible debt if it is converted to equity</t>
        </r>
      </text>
    </comment>
    <comment ref="K32" authorId="0" shapeId="0" xr:uid="{B3267056-E868-46D8-8249-3412A8E67D76}">
      <text>
        <r>
          <rPr>
            <sz val="9"/>
            <color rgb="FF000000"/>
            <rFont val="Tahoma"/>
            <family val="2"/>
          </rPr>
          <t>Basing margin improvement trend here on equity research.</t>
        </r>
      </text>
    </comment>
    <comment ref="C37" authorId="2" shapeId="0" xr:uid="{14DAF148-9E03-4080-8548-819930A1D62A}">
      <text>
        <r>
          <rPr>
            <b/>
            <sz val="9"/>
            <color rgb="FF000000"/>
            <rFont val="Tahoma"/>
            <family val="2"/>
          </rPr>
          <t>NOPAT stands for net operating profit after taxes.  It represents a company's operating profits less tax expense on operations.  This means that the tax deductions due to interest expense are ignored in this calculation and are instead captured in the discount rate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42" authorId="3" shapeId="0" xr:uid="{31754AD7-F9AC-49C1-B6D1-91CE268B7570}">
      <text>
        <r>
          <rPr>
            <b/>
            <sz val="9"/>
            <color indexed="81"/>
            <rFont val="Tahoma"/>
            <family val="2"/>
          </rPr>
          <t>It is a balance sheet item which  refers to the tax that is overpaid or owed by the company to the tax authorities. Deferred tax impacts the future cash flows of the company - while deferred tax assets lower the cash outflow, deferred tax liability increases the cash outflow for the company in the future. Deferred tax is a balance sheet line item recorded because the Company owes or pays more tax to the authorities.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60EB099B-1237-4F29-B18A-67E55886FDCD}">
      <text>
        <r>
          <rPr>
            <sz val="9"/>
            <color rgb="FF000000"/>
            <rFont val="Tahoma"/>
            <family val="2"/>
          </rPr>
          <t>Book tax figures from Income Statement on 10-K.</t>
        </r>
      </text>
    </comment>
    <comment ref="G43" authorId="0" shapeId="0" xr:uid="{EF6AC28B-F914-4A97-BAE8-D6591D8DCE87}">
      <text>
        <r>
          <rPr>
            <sz val="9"/>
            <color rgb="FF000000"/>
            <rFont val="Tahoma"/>
            <family val="2"/>
          </rPr>
          <t>Book tax figures from Income Statement on 10-K.</t>
        </r>
      </text>
    </comment>
    <comment ref="H43" authorId="0" shapeId="0" xr:uid="{634D53EF-05D7-4AFF-9A63-DDFFC452965A}">
      <text>
        <r>
          <rPr>
            <sz val="9"/>
            <color rgb="FF000000"/>
            <rFont val="Tahoma"/>
            <family val="2"/>
          </rPr>
          <t>Book tax figures from Income Statement on 10-K.</t>
        </r>
      </text>
    </comment>
    <comment ref="I43" authorId="0" shapeId="0" xr:uid="{6F60B45C-3C87-4DFD-BC5A-F61014C09490}">
      <text>
        <r>
          <rPr>
            <sz val="9"/>
            <color rgb="FF000000"/>
            <rFont val="Tahoma"/>
            <family val="2"/>
          </rPr>
          <t>Book tax figures from Income Statement on 10-K.</t>
        </r>
      </text>
    </comment>
    <comment ref="J43" authorId="0" shapeId="0" xr:uid="{F89AD39E-471C-4065-8A74-2232F00F3730}">
      <text>
        <r>
          <rPr>
            <sz val="9"/>
            <color rgb="FF000000"/>
            <rFont val="Tahoma"/>
            <family val="2"/>
          </rPr>
          <t>Book tax figures from Income Statement on 10-K.</t>
        </r>
      </text>
    </comment>
    <comment ref="K51" authorId="1" shapeId="0" xr:uid="{4FAFA45D-8EEE-4979-88FB-8FD5BAA98C96}">
      <text>
        <r>
          <rPr>
            <b/>
            <sz val="9"/>
            <color rgb="FF000000"/>
            <rFont val="Tahoma"/>
            <family val="2"/>
          </rPr>
          <t xml:space="preserve">Net Change in WK = </t>
        </r>
        <r>
          <rPr>
            <sz val="9"/>
            <color rgb="FF000000"/>
            <rFont val="Tahoma"/>
            <family val="2"/>
          </rPr>
          <t>% Change in Revenue * (Revenue current Yr - Revenue last year) = I55*(I27-H27)</t>
        </r>
      </text>
    </comment>
    <comment ref="F52" authorId="0" shapeId="0" xr:uid="{CD57DB23-242C-43C0-A9A2-BE3DC306DCD5}">
      <text>
        <r>
          <rPr>
            <sz val="9"/>
            <color rgb="FF000000"/>
            <rFont val="Tahoma"/>
            <family val="2"/>
          </rPr>
          <t>Revenue from older 10-K for the previous yr.</t>
        </r>
      </text>
    </comment>
    <comment ref="G52" authorId="0" shapeId="0" xr:uid="{0FA9D511-FC37-4CC4-B52D-7B101AAE6BBC}">
      <text>
        <r>
          <rPr>
            <sz val="9"/>
            <color rgb="FF000000"/>
            <rFont val="Tahoma"/>
            <family val="2"/>
          </rPr>
          <t>Revenue from older 10-K for the previous yr.</t>
        </r>
      </text>
    </comment>
    <comment ref="H52" authorId="0" shapeId="0" xr:uid="{C4C76E9D-253E-4EEB-A168-AE2EEF7D725A}">
      <text>
        <r>
          <rPr>
            <sz val="9"/>
            <color rgb="FF000000"/>
            <rFont val="Tahoma"/>
            <family val="2"/>
          </rPr>
          <t>Revenue from older 10-K for the previous yr.</t>
        </r>
      </text>
    </comment>
    <comment ref="K52" authorId="0" shapeId="0" xr:uid="{9A2C61C0-75ED-476B-B006-2C9C29E573D6}">
      <text>
        <r>
          <rPr>
            <sz val="9"/>
            <color rgb="FF000000"/>
            <rFont val="Tahoma"/>
            <family val="2"/>
          </rPr>
          <t>As revenue goes up, more working capital required due to inventory, among other items - but if revenue drops, working capital requirements decrease (see the historical Year 2).</t>
        </r>
      </text>
    </comment>
    <comment ref="K56" authorId="0" shapeId="0" xr:uid="{A234BF0F-1413-4594-95D9-2329508CD7F2}">
      <text>
        <r>
          <rPr>
            <sz val="9"/>
            <color rgb="FF000000"/>
            <rFont val="Tahoma"/>
            <family val="2"/>
          </rPr>
          <t>Want this to stay ahead of D&amp;A to reflect continued investment requirements of the business.</t>
        </r>
      </text>
    </comment>
  </commentList>
</comments>
</file>

<file path=xl/sharedStrings.xml><?xml version="1.0" encoding="utf-8"?>
<sst xmlns="http://schemas.openxmlformats.org/spreadsheetml/2006/main" count="3527" uniqueCount="755">
  <si>
    <t>ESTIMATES FOR CURRENT YEAR (FY 23)</t>
  </si>
  <si>
    <t/>
  </si>
  <si>
    <t>F | Estimate Details | Single Measure/Single Period</t>
  </si>
  <si>
    <t>02-Dec-2023</t>
  </si>
  <si>
    <t>Next Earning Report</t>
  </si>
  <si>
    <t>31-Jan-2024</t>
  </si>
  <si>
    <t>Measure</t>
  </si>
  <si>
    <t>Revenue</t>
  </si>
  <si>
    <t>Period</t>
  </si>
  <si>
    <t>FY Dec-23 (This Year)</t>
  </si>
  <si>
    <t>Basis Indicator</t>
  </si>
  <si>
    <t>Primary Basis</t>
  </si>
  <si>
    <t>Revenue - Consolidated USD Millions</t>
  </si>
  <si>
    <t>Custom Calculated Mean</t>
  </si>
  <si>
    <t>SmartEstimate®</t>
  </si>
  <si>
    <t>Mean</t>
  </si>
  <si>
    <t>Predicted Surprise %</t>
  </si>
  <si>
    <t>Median</t>
  </si>
  <si>
    <t>Low</t>
  </si>
  <si>
    <t>High</t>
  </si>
  <si>
    <t>Analyst Revision Summary</t>
  </si>
  <si>
    <t>1 of 10 estimates are new since:</t>
  </si>
  <si>
    <t>30 Days Ago</t>
  </si>
  <si>
    <t>Mean change since %:</t>
  </si>
  <si>
    <t>Stock price change since 30 days ago %:</t>
  </si>
  <si>
    <t>Segments</t>
  </si>
  <si>
    <t>Type</t>
  </si>
  <si>
    <t>Name</t>
  </si>
  <si>
    <t>Mean ($)</t>
  </si>
  <si>
    <t>% Total</t>
  </si>
  <si>
    <t>Business</t>
  </si>
  <si>
    <t>Automotive</t>
  </si>
  <si>
    <t>Financial Services(Ford Credit)</t>
  </si>
  <si>
    <t>Ford Next</t>
  </si>
  <si>
    <t>Guidance</t>
  </si>
  <si>
    <t>Issuance Date</t>
  </si>
  <si>
    <t>Mean At Issuance</t>
  </si>
  <si>
    <t>Title</t>
  </si>
  <si>
    <t>21-Jul-2022</t>
  </si>
  <si>
    <t>T</t>
  </si>
  <si>
    <t>-</t>
  </si>
  <si>
    <t>Ford Motor Co Electric Vehicle Plan Update Call</t>
  </si>
  <si>
    <t>02-Mar-2022</t>
  </si>
  <si>
    <t>Ford Motor Co Capital Markets Call</t>
  </si>
  <si>
    <t>23-Feb-2022</t>
  </si>
  <si>
    <t>Ford Motor Co at Wolfe Research Global Auto, Auto Tech and Mobility Conference - Fireside Chat</t>
  </si>
  <si>
    <t>Revenue Estimate Details</t>
  </si>
  <si>
    <t>Estimates included in the Mean (10 Analyst(s))</t>
  </si>
  <si>
    <t>Contributor</t>
  </si>
  <si>
    <t>Analyst</t>
  </si>
  <si>
    <t>Earnings Accuracy</t>
  </si>
  <si>
    <t>Current Estimate</t>
  </si>
  <si>
    <t>% Difference From Mean</t>
  </si>
  <si>
    <t>Previous Estimate</t>
  </si>
  <si>
    <t>Estimate Age</t>
  </si>
  <si>
    <t>Estimate Date</t>
  </si>
  <si>
    <t>Review Date</t>
  </si>
  <si>
    <t>Smart Estimate Weight %</t>
  </si>
  <si>
    <t>☑</t>
  </si>
  <si>
    <t>Undisclosed</t>
  </si>
  <si>
    <t>★★★★★</t>
  </si>
  <si>
    <t>27-Oct-2023</t>
  </si>
  <si>
    <t>WELLS FARGO SECURITIES, LLC</t>
  </si>
  <si>
    <t>Langan, Colin M. M</t>
  </si>
  <si>
    <t>26-Oct-2023</t>
  </si>
  <si>
    <t>★★★☆☆</t>
  </si>
  <si>
    <t>01-Dec-2023</t>
  </si>
  <si>
    <t>        Automotive</t>
  </si>
  <si>
    <t>28-Jul-2023</t>
  </si>
  <si>
    <t>MORNINGSTAR, INC.</t>
  </si>
  <si>
    <t>Whiston, David</t>
  </si>
  <si>
    <t>★★☆☆☆</t>
  </si>
  <si>
    <t>03-Nov-2023</t>
  </si>
  <si>
    <t>30-Oct-2023</t>
  </si>
  <si>
    <t>01-Nov-2023</t>
  </si>
  <si>
    <t>NOMURA SECURITIES INTL (AMERICA)</t>
  </si>
  <si>
    <t>Das, Anindya R</t>
  </si>
  <si>
    <t>31-Oct-2023</t>
  </si>
  <si>
    <t>        Financial Services(Ford Credit)</t>
  </si>
  <si>
    <t>        Ford Next</t>
  </si>
  <si>
    <t>07-Aug-2023</t>
  </si>
  <si>
    <t>30-Nov-2023</t>
  </si>
  <si>
    <t>THE BENCHMARK COMPANY LLC</t>
  </si>
  <si>
    <t>Ward, Michael P</t>
  </si>
  <si>
    <t>★☆☆☆☆</t>
  </si>
  <si>
    <t>SAL represents Automative revenue</t>
  </si>
  <si>
    <t>Estimates excluded from the Mean by LSEG (8 Analyst(s))</t>
  </si>
  <si>
    <t>☐</t>
  </si>
  <si>
    <t>EVERCORE ISI</t>
  </si>
  <si>
    <t>McNally, Chris</t>
  </si>
  <si>
    <t>★★★★☆</t>
  </si>
  <si>
    <t>29-Oct-2023</t>
  </si>
  <si>
    <t>05-Nov-2023</t>
  </si>
  <si>
    <t>UBS EQUITIES</t>
  </si>
  <si>
    <t>Spak, Joseph R</t>
  </si>
  <si>
    <t>08-Oct-2023</t>
  </si>
  <si>
    <t>30-May-2023</t>
  </si>
  <si>
    <t>29-May-2023</t>
  </si>
  <si>
    <t>10-Oct-2023</t>
  </si>
  <si>
    <t>BNP PARIBAS EXANE</t>
  </si>
  <si>
    <t>Picariello, James A</t>
  </si>
  <si>
    <t>22-Nov-2023</t>
  </si>
  <si>
    <t>CRISPIDEA PRIVATE LIMITED</t>
  </si>
  <si>
    <t>Viswanath, Harvind</t>
  </si>
  <si>
    <t>insuf-hist</t>
  </si>
  <si>
    <t>19-Apr-2023</t>
  </si>
  <si>
    <t>18-Aug-2023</t>
  </si>
  <si>
    <t xml:space="preserve">ESTIMATES FOR FY24 </t>
  </si>
  <si>
    <t>FY Dec-24</t>
  </si>
  <si>
    <t>Q3 2023 Ford Motor Co Earnings Call</t>
  </si>
  <si>
    <t>15-Jun-2023</t>
  </si>
  <si>
    <t>Ford Motor Co at Deutsche Bank Global Auto Industry Conference</t>
  </si>
  <si>
    <t>31-Jul-2023</t>
  </si>
  <si>
    <t>X-Cluster</t>
  </si>
  <si>
    <t>21-Nov-2023</t>
  </si>
  <si>
    <t>ESTIMATES FOR FY25</t>
  </si>
  <si>
    <t>FY Dec-25</t>
  </si>
  <si>
    <t>1 of 7 estimates are new since:</t>
  </si>
  <si>
    <t>Estimates included in the Mean (7 Analyst(s))</t>
  </si>
  <si>
    <t>F | Estimate Details | Single Measure/Multi-Periods</t>
  </si>
  <si>
    <t>Periodicity</t>
  </si>
  <si>
    <t>Annual &amp; Interim</t>
  </si>
  <si>
    <t>REVENUE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</si>
  <si>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</si>
  <si>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</si>
  <si>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</si>
  <si>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</si>
  <si>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</si>
  <si>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</si>
  <si>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</si>
  <si>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</si>
  <si>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</si>
  <si>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</si>
  <si>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</si>
  <si>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</si>
  <si>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</si>
  <si>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</si>
  <si>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</si>
  <si>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</si>
  <si>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</si>
  <si>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</si>
  <si>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</si>
  <si>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</si>
  <si>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</si>
  <si>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</si>
  <si>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</si>
  <si>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</si>
  <si>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</si>
  <si>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</si>
  <si>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</si>
  <si>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</si>
  <si>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</si>
  <si>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</si>
  <si>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</si>
  <si>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</si>
  <si>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Q1 Mar-25</t>
  </si>
  <si>
    <t>Q2 Jun-25</t>
  </si>
  <si>
    <t>Q3 Sep-25</t>
  </si>
  <si>
    <t>Q4 Dec-25</t>
  </si>
  <si>
    <t># Estimates</t>
  </si>
  <si>
    <t>Actual</t>
  </si>
  <si>
    <t>REVENUE Estimate Details</t>
  </si>
  <si>
    <t>Current Analyst</t>
  </si>
  <si>
    <t>FY Dec-21 ▾</t>
  </si>
  <si>
    <t>BAPTISTA RESEARCH</t>
  </si>
  <si>
    <t>CREDIT SUISSE</t>
  </si>
  <si>
    <t>NH INVESTMENT &amp; SECURITIES (PREVIOUSLY WOORI RESEARCH)</t>
  </si>
  <si>
    <t>BERENBERG</t>
  </si>
  <si>
    <t>DZ BANK</t>
  </si>
  <si>
    <t>04-Dec-2023</t>
  </si>
  <si>
    <t>Earnings Per Share Reported</t>
  </si>
  <si>
    <t>Annual</t>
  </si>
  <si>
    <t>EARNINGS PER SHARE REPORTED - Consolidated USD Per Share</t>
  </si>
  <si>
    <t>EARNINGS PER SHARE REPORTED Estimate Details</t>
  </si>
  <si>
    <t>FY Dec-22 ▴</t>
  </si>
  <si>
    <t>Price to Earnings Table - FY2024</t>
  </si>
  <si>
    <t>Current Price</t>
  </si>
  <si>
    <t>Outstanding Shares</t>
  </si>
  <si>
    <t>FY2022 EPS</t>
  </si>
  <si>
    <t>Current P/E</t>
  </si>
  <si>
    <t>Forecasted Revenue</t>
  </si>
  <si>
    <t>EPS</t>
  </si>
  <si>
    <t>Year</t>
  </si>
  <si>
    <t>FY2023</t>
  </si>
  <si>
    <t>FY2024</t>
  </si>
  <si>
    <t>FY2025</t>
  </si>
  <si>
    <t>Growth Rate</t>
  </si>
  <si>
    <t>Average</t>
  </si>
  <si>
    <t>Ford FY24 Estimates: Stock Price</t>
  </si>
  <si>
    <t>Ford FY24 Estimates: Stock Returns 
(% Return from Current Price)</t>
  </si>
  <si>
    <t xml:space="preserve">Current Price: </t>
  </si>
  <si>
    <t>Estimated EPS</t>
  </si>
  <si>
    <t xml:space="preserve">Average </t>
  </si>
  <si>
    <t>P/E Estimates</t>
  </si>
  <si>
    <t>Pessimistic</t>
  </si>
  <si>
    <t>Zero Growth</t>
  </si>
  <si>
    <t>Expected</t>
  </si>
  <si>
    <t>Optimistic</t>
  </si>
  <si>
    <t>FY2022 Revenue</t>
  </si>
  <si>
    <t>Current P/S (Estimated FY23)</t>
  </si>
  <si>
    <t>Forecasted Revenue - Refinitiv Estimates (in Millions)</t>
  </si>
  <si>
    <t>Price to Sales Ratio</t>
  </si>
  <si>
    <t>Revenue / Sales (in Millions)</t>
  </si>
  <si>
    <t>P/S Estimates</t>
  </si>
  <si>
    <t>Price / Sales Ratio</t>
  </si>
  <si>
    <t>Price / Sales Ratio - Consolidated Percentage</t>
  </si>
  <si>
    <t>1 of 2 estimates are new since:</t>
  </si>
  <si>
    <t>Average Revision %:</t>
  </si>
  <si>
    <t>Price / Sales Ratio Estimate Details</t>
  </si>
  <si>
    <t>Estimates included in the Mean (2 Analyst(s))</t>
  </si>
  <si>
    <t>27-Jul-2023</t>
  </si>
  <si>
    <t>X-Age</t>
  </si>
  <si>
    <t>07-Nov-2023</t>
  </si>
  <si>
    <t>($ USD in Millions Except Per Share Amounts in USD as Stated)</t>
  </si>
  <si>
    <t>Discount Rate Calculations - Assumptions:</t>
  </si>
  <si>
    <t>Risk-Free Rate:</t>
  </si>
  <si>
    <t>Equity Risk Premium:</t>
  </si>
  <si>
    <t>Unlevered Beta = Levered Beta / (1 + Debt/Equity Ratio * (1 – Tax Rate) + Preferred/Equity Ratio)</t>
  </si>
  <si>
    <t>Pre-Tax Cost of Debt:</t>
  </si>
  <si>
    <t>Cost of Preferred Stock:</t>
  </si>
  <si>
    <t>Levered Beta = Unlevered Beta * (1 + Debt/Equity Ratio * (1 – Tax Rate) + Preferred/Equity Ratio)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</si>
  <si>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</si>
  <si>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</si>
  <si>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</si>
  <si>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</si>
  <si>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</si>
  <si>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</si>
  <si>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</si>
  <si>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</si>
  <si>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</si>
  <si>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</si>
  <si>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</si>
  <si>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</si>
  <si>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</si>
  <si>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</si>
  <si>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General Motors Co</t>
  </si>
  <si>
    <t>GM</t>
  </si>
  <si>
    <t>Stellantis NV</t>
  </si>
  <si>
    <t>STLAM</t>
  </si>
  <si>
    <t>Volkswagen AG</t>
  </si>
  <si>
    <t>VOWG</t>
  </si>
  <si>
    <t>Renault SA</t>
  </si>
  <si>
    <t>RENA</t>
  </si>
  <si>
    <t>Honda Motor Co Ltd</t>
  </si>
  <si>
    <t>HONDA</t>
  </si>
  <si>
    <t>Nissan Motor Co Ltd</t>
  </si>
  <si>
    <t>NISMO</t>
  </si>
  <si>
    <t>Median:</t>
  </si>
  <si>
    <t>F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</si>
  <si>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</si>
  <si>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</si>
  <si>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</si>
  <si>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</si>
  <si>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</si>
  <si>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 = Cost of Equity * % Equity + Cost of Debt * (1 - Tax Rate) * % Debt + Cost of Preferred Stock * % Preferred Stock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</si>
  <si>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</si>
  <si>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</si>
  <si>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</si>
  <si>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</si>
  <si>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 xml:space="preserve">Ticker </t>
  </si>
  <si>
    <t>Date</t>
  </si>
  <si>
    <t>Last Fiscal Year:</t>
  </si>
  <si>
    <t>($ in Millions Except Per Share Data)</t>
  </si>
  <si>
    <t>Exchange</t>
  </si>
  <si>
    <t>NYQ</t>
  </si>
  <si>
    <t>Company Name:</t>
  </si>
  <si>
    <t>Ford Motor Company</t>
  </si>
  <si>
    <t>Terminal EBITDA Multiple Approach</t>
  </si>
  <si>
    <t>Terminal FCF Growth Rate - Perpetuity Approach</t>
  </si>
  <si>
    <t>Current Share Price:</t>
  </si>
  <si>
    <t>Nov 8,2023</t>
  </si>
  <si>
    <t>PV of Terminal Value:</t>
  </si>
  <si>
    <t>Effective Tax Rate:</t>
  </si>
  <si>
    <t>Sum of PV of Free Cash Flows:</t>
  </si>
  <si>
    <t>Discount Rate (WACC):</t>
  </si>
  <si>
    <t>Implied Enterprise Value:</t>
  </si>
  <si>
    <t>Baseline Terminal EBITDA Multiple:</t>
  </si>
  <si>
    <t>% of Implied EV from Terminal Value:</t>
  </si>
  <si>
    <t>Baseline Terminal Value:</t>
  </si>
  <si>
    <t>Implied Terminal FCF Growth Rate:</t>
  </si>
  <si>
    <t>Less: Net Debt:</t>
  </si>
  <si>
    <t>Implied Equity Value:</t>
  </si>
  <si>
    <t>Baseline Terminal FCF Growth Rate:</t>
  </si>
  <si>
    <t>Diluted Shares Outstanding:</t>
  </si>
  <si>
    <t>Implied Terminal EBITDA Multiple:</t>
  </si>
  <si>
    <t>Implied Intrinsic Value Per Share:</t>
  </si>
  <si>
    <t>Premium / (Discount) to Current Price:</t>
  </si>
  <si>
    <t>Historical</t>
  </si>
  <si>
    <t>Projected</t>
  </si>
  <si>
    <t>Trend</t>
  </si>
  <si>
    <t>Revenue:</t>
  </si>
  <si>
    <t>Revenue Growth Rate:</t>
  </si>
  <si>
    <t>Operating Income (EBIT):</t>
  </si>
  <si>
    <t>Operating Margin:</t>
  </si>
  <si>
    <t>Growth Rate:</t>
  </si>
  <si>
    <t>Less: Taxes, Excluding Effect of Interest:</t>
  </si>
  <si>
    <t>Net Operating Profit After Tax (NOPAT):</t>
  </si>
  <si>
    <t>Adjustments for Non-Cash Charges:</t>
  </si>
  <si>
    <t>Depreciation &amp; Amortization:</t>
  </si>
  <si>
    <t>% Revenue:</t>
  </si>
  <si>
    <t>Deferred Income Taxes:</t>
  </si>
  <si>
    <t>% Book Taxes on Income Statement:</t>
  </si>
  <si>
    <t>Total Non-Cash Adjustments:</t>
  </si>
  <si>
    <t>Changes in Working Capital:</t>
  </si>
  <si>
    <t>Decrease / (Increase) in Accounts Receivable:</t>
  </si>
  <si>
    <t>Decrease / (Increase) in Inventory:</t>
  </si>
  <si>
    <t>Increase / (Decrease) in Accounts Payable:</t>
  </si>
  <si>
    <t>Increase / (Decrease) in Other Operating Cash Flow</t>
  </si>
  <si>
    <t>Net Change in Working Capital:</t>
  </si>
  <si>
    <t>% Change in Revenue:</t>
  </si>
  <si>
    <t>Less: Capital Expenditures:</t>
  </si>
  <si>
    <t>Unlevered Free Cash Flow:</t>
  </si>
  <si>
    <t>EBITDA:</t>
  </si>
  <si>
    <t>Sensitivity - Implied Share Price from DCF Analysis - Long-Term FCF Growth Rate vs. Discount Rate (WACC):</t>
  </si>
  <si>
    <t>Terminal FCF Growth Rate:</t>
  </si>
  <si>
    <t>Terminal EBITDA Multiple:</t>
  </si>
  <si>
    <t>Diff.</t>
  </si>
  <si>
    <t>Intrinsic Value</t>
  </si>
  <si>
    <t>52 Week Market High/Low</t>
  </si>
  <si>
    <t>Ford Motor Co | Cash Flow                                09-Nov-2023 11:12</t>
  </si>
  <si>
    <t>Cash Flow</t>
  </si>
  <si>
    <t>Industry - Annual Standardised in Millions of U.S. Dollars</t>
  </si>
  <si>
    <t>Earnings Quality Score</t>
  </si>
  <si>
    <t>51 </t>
  </si>
  <si>
    <t>30 </t>
  </si>
  <si>
    <t>38 </t>
  </si>
  <si>
    <t>31 </t>
  </si>
  <si>
    <t>14 </t>
  </si>
  <si>
    <t>Period End Date</t>
  </si>
  <si>
    <t>31-Dec-2022 </t>
  </si>
  <si>
    <t>31-Dec-2021 </t>
  </si>
  <si>
    <t>31-Dec-2020 </t>
  </si>
  <si>
    <t>31-Dec-2019 </t>
  </si>
  <si>
    <t>31-Dec-2018 </t>
  </si>
  <si>
    <t>Period Length</t>
  </si>
  <si>
    <t>12 Months </t>
  </si>
  <si>
    <t>Update Type</t>
  </si>
  <si>
    <t>Updated </t>
  </si>
  <si>
    <t>Statement Date</t>
  </si>
  <si>
    <t>Reporting Unit</t>
  </si>
  <si>
    <t>Millions </t>
  </si>
  <si>
    <t>Update Date</t>
  </si>
  <si>
    <t>19-Jul-2023 </t>
  </si>
  <si>
    <t>29-May-2023 </t>
  </si>
  <si>
    <t>19-May-2022 </t>
  </si>
  <si>
    <t>Reporting Currency</t>
  </si>
  <si>
    <t>U.S. Dollar </t>
  </si>
  <si>
    <t>Source</t>
  </si>
  <si>
    <t>10-K </t>
  </si>
  <si>
    <t>Source Date</t>
  </si>
  <si>
    <t>03-Feb-2023 </t>
  </si>
  <si>
    <t>04-Feb-2022 </t>
  </si>
  <si>
    <t>05-Feb-2021 </t>
  </si>
  <si>
    <t>05-Feb-2020 </t>
  </si>
  <si>
    <t>21-Feb-2019 </t>
  </si>
  <si>
    <t>Original Announcement Date</t>
  </si>
  <si>
    <t>Complete Statement</t>
  </si>
  <si>
    <t>Complete </t>
  </si>
  <si>
    <t>Flash Update</t>
  </si>
  <si>
    <t>No </t>
  </si>
  <si>
    <t>Consolidated</t>
  </si>
  <si>
    <t>Yes </t>
  </si>
  <si>
    <t>Auditor Name</t>
  </si>
  <si>
    <t>PricewaterhouseCoopers LLP </t>
  </si>
  <si>
    <t>Auditor Opinion</t>
  </si>
  <si>
    <t>Unqualified with Explanation </t>
  </si>
  <si>
    <t>Accounting Standard</t>
  </si>
  <si>
    <t>U.S. GAAP </t>
  </si>
  <si>
    <t>Cash Flow-Operating Activities ($ Millions)</t>
  </si>
  <si>
    <t>Net Income/Starting Line</t>
  </si>
  <si>
    <t>Depreciation/Depletion</t>
  </si>
  <si>
    <t>Depreciation</t>
  </si>
  <si>
    <t>Deferred Taxes</t>
  </si>
  <si>
    <t>Non-Cash Items</t>
  </si>
  <si>
    <t>Unusual Items</t>
  </si>
  <si>
    <t>Equity in Net Earnings (Loss)</t>
  </si>
  <si>
    <t>Other Non-Cash Items</t>
  </si>
  <si>
    <t>Changes in Working Capital</t>
  </si>
  <si>
    <t>Accounts Receivable</t>
  </si>
  <si>
    <t>Inventories</t>
  </si>
  <si>
    <t>Payable/Accrued</t>
  </si>
  <si>
    <t>Other Operating Cash Flow</t>
  </si>
  <si>
    <t>Cash from Operating Activities</t>
  </si>
  <si>
    <t>Cash Flow-Investing Activities ($ Millions)</t>
  </si>
  <si>
    <t>Capital Expenditures</t>
  </si>
  <si>
    <t>Purchase of Fixed Assets</t>
  </si>
  <si>
    <t>Other Investing Cash Flow Items, Total</t>
  </si>
  <si>
    <t>Sale of Business</t>
  </si>
  <si>
    <t>--</t>
  </si>
  <si>
    <t>Sale/Maturity of Investment</t>
  </si>
  <si>
    <t>Investment, Net</t>
  </si>
  <si>
    <t>Purchase of Investments</t>
  </si>
  <si>
    <t>Other Investing Cash Flow</t>
  </si>
  <si>
    <t>Cash from Investing Activities</t>
  </si>
  <si>
    <t>Cash Flow-Financing Activities ($ Millions)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</si>
  <si>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</si>
  <si>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</si>
  <si>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</si>
  <si>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</si>
  <si>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</si>
  <si>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Repurchase/Retirement of Common</t>
  </si>
  <si>
    <t>Common Stock, Net</t>
  </si>
  <si>
    <t>Issuance (Retirement) of Debt, Net</t>
  </si>
  <si>
    <t>Short Term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</si>
  <si>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</si>
  <si>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</si>
  <si>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</si>
  <si>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</si>
  <si>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</si>
  <si>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</si>
  <si>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</si>
  <si>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</si>
  <si>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</si>
  <si>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</si>
  <si>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Net Changes in Working Capital</t>
  </si>
  <si>
    <t>Free Cash Flow</t>
  </si>
  <si>
    <t>Ford Motor Co | Balance Sheet                                09-Nov-2023 11:11</t>
  </si>
  <si>
    <t>Balance Sheet</t>
  </si>
  <si>
    <t>27-Oct-2023 </t>
  </si>
  <si>
    <t>18-Apr-2023 </t>
  </si>
  <si>
    <t>Assets ($ Millions)</t>
  </si>
  <si>
    <t>Cash and Short Term Investments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</si>
  <si>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</si>
  <si>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</si>
  <si>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</si>
  <si>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</si>
  <si>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</si>
  <si>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</si>
  <si>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Notes Receivable - Short Term</t>
  </si>
  <si>
    <t>Total Inventory</t>
  </si>
  <si>
    <t>Inventories - Finished Goods</t>
  </si>
  <si>
    <t>Inventories - Raw Materials</t>
  </si>
  <si>
    <t>Other Current Assets, Total</t>
  </si>
  <si>
    <t>Discontinued Operations - Current Asset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</si>
  <si>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</si>
  <si>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</si>
  <si>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</si>
  <si>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</si>
  <si>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</si>
  <si>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</si>
  <si>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</si>
  <si>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Leases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</si>
  <si>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</si>
  <si>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</si>
  <si>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</si>
  <si>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</si>
  <si>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</si>
  <si>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</si>
  <si>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</si>
  <si>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</si>
  <si>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</si>
  <si>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</si>
  <si>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Defered Income Tax - Long Term Asset</t>
  </si>
  <si>
    <t>Restricted Cash - Long Term</t>
  </si>
  <si>
    <t>Other Long Term Assets</t>
  </si>
  <si>
    <t>Total Assets</t>
  </si>
  <si>
    <t>Liabilities ($ Millions)</t>
  </si>
  <si>
    <t>Accounts Payable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</si>
  <si>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</si>
  <si>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</si>
  <si>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</si>
  <si>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</si>
  <si>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</si>
  <si>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Discontinued Operations - Curr Liability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</si>
  <si>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</si>
  <si>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</si>
  <si>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</si>
  <si>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</si>
  <si>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</si>
  <si>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</si>
  <si>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</si>
  <si>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</si>
  <si>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Minority Interest</t>
  </si>
  <si>
    <t>Other Liabilities, Total</t>
  </si>
  <si>
    <t>Pension Benefits - Underfunded</t>
  </si>
  <si>
    <t>Other Long Term Liabilities</t>
  </si>
  <si>
    <t>Total Liabilities</t>
  </si>
  <si>
    <t>Shareholders Equity ($ Millions)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</si>
  <si>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</si>
  <si>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</si>
  <si>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</si>
  <si>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</si>
  <si>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</si>
  <si>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Unrealized Gain (Loss)</t>
  </si>
  <si>
    <t>Other Equity, Total</t>
  </si>
  <si>
    <t>Translation Adjustment</t>
  </si>
  <si>
    <t>Minimum Pension Liability Adjustment</t>
  </si>
  <si>
    <t>Other Comprehensive Income</t>
  </si>
  <si>
    <t>Total Equity</t>
  </si>
  <si>
    <t>Total Liabilities &amp; Shareholders' Equity</t>
  </si>
  <si>
    <t>Supplemental ($ Millions)</t>
  </si>
  <si>
    <t>Shares Outstanding - Common Issue 2</t>
  </si>
  <si>
    <t>Total Common Shares Outstanding</t>
  </si>
  <si>
    <t>Shares Outs - Common Stock Primary Issue</t>
  </si>
  <si>
    <t>Treas Shares - Common Stock Prmry Issue</t>
  </si>
  <si>
    <t>Treasury Shares - Common Issue 2</t>
  </si>
  <si>
    <t>Minority Interest - Redeemable</t>
  </si>
  <si>
    <t>Minority Interest - Non Redeemable</t>
  </si>
  <si>
    <t>Total Equity &amp; Minority Interest</t>
  </si>
  <si>
    <t>Full-Time Employees</t>
  </si>
  <si>
    <t>Number of Common Shareholders</t>
  </si>
  <si>
    <t>Other Property/Plant/Equipment - Net</t>
  </si>
  <si>
    <t>Intangibles - Net</t>
  </si>
  <si>
    <t>Goodwill - Net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</si>
  <si>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</si>
  <si>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</si>
  <si>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</si>
  <si>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</si>
  <si>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</si>
  <si>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</si>
  <si>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</si>
  <si>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</si>
  <si>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</si>
  <si>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Deferred Revenue - Current</t>
  </si>
  <si>
    <t>Deferred Revenue - Long Term</t>
  </si>
  <si>
    <t>Curr Port - LTD/Cap Lse Fin Sec., Suppl.</t>
  </si>
  <si>
    <t>Long Term Debt Financial Sector, Suppl.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</si>
  <si>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</si>
  <si>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</si>
  <si>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</si>
  <si>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</si>
  <si>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Non-Curr Derivative Liab. Hedging, Suppl</t>
  </si>
  <si>
    <t>Total Current Assets less Inventory</t>
  </si>
  <si>
    <t>Revolving Line of Credit - Outstanding</t>
  </si>
  <si>
    <t>Rvlvng Line of Credit - Principal Amount</t>
  </si>
  <si>
    <t>Net Debt Incl. Pref.Stock &amp; Min.Interest</t>
  </si>
  <si>
    <t>Tangible Book Value, Common Equity</t>
  </si>
  <si>
    <t>Debt &amp; Lease, Pension Items ($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</si>
  <si>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</si>
  <si>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</si>
  <si>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</si>
  <si>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</si>
  <si>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</si>
  <si>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</si>
  <si>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</si>
  <si>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</si>
  <si>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</si>
  <si>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</si>
  <si>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Interest Costs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</si>
  <si>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</si>
  <si>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</si>
  <si>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</si>
  <si>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</si>
  <si>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</si>
  <si>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</si>
  <si>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</si>
  <si>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</si>
  <si>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</si>
  <si>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</si>
  <si>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</si>
  <si>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</si>
  <si>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</si>
  <si>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</si>
  <si>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</si>
  <si>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</si>
  <si>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</si>
  <si>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</si>
  <si>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</si>
  <si>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Pension Obligation - Domestic</t>
  </si>
  <si>
    <t>Pension Obligation - Foreign</t>
  </si>
  <si>
    <t>Plan Assets - Domestic</t>
  </si>
  <si>
    <t>Plan Assets - Foreign</t>
  </si>
  <si>
    <t>Funded Status - Domestic</t>
  </si>
  <si>
    <t>Funded Status - Foreign</t>
  </si>
  <si>
    <t>Accumulated Obligation - Domestic</t>
  </si>
  <si>
    <t>Accumulated Obligation - Foreign</t>
  </si>
  <si>
    <t>Accumulated Obligation - Post-Retirement</t>
  </si>
  <si>
    <t>Unfunded Plan Obligations</t>
  </si>
  <si>
    <t>Period End Assumptions</t>
  </si>
  <si>
    <t>Discount Rate - Domestic</t>
  </si>
  <si>
    <t>Discount Rate - Foreign</t>
  </si>
  <si>
    <t>Discount Rate - Post-Retirement</t>
  </si>
  <si>
    <t>Compensation Rate - Domestic</t>
  </si>
  <si>
    <t>Compensation Rate - Foreign</t>
  </si>
  <si>
    <t>Compensation Rate - Post-Retirement</t>
  </si>
  <si>
    <t>Net Assets Recognized on Balance Sheet</t>
  </si>
  <si>
    <t>Prepaid Benefits - Domestic</t>
  </si>
  <si>
    <t>Prepaid Benefits - Foreign</t>
  </si>
  <si>
    <t>Prepaid Benefits - Post-Retirement</t>
  </si>
  <si>
    <t>Accrued Liabilities - Domestic</t>
  </si>
  <si>
    <t>Accrued Liabilities - Foreign</t>
  </si>
  <si>
    <t>Accrued Liabilities - Post-Retirement</t>
  </si>
  <si>
    <t>Other Assets, Net - Domestic</t>
  </si>
  <si>
    <t>Other Assets, Net - Foreign</t>
  </si>
  <si>
    <t>Other Assets, Net - Post-Retirement</t>
  </si>
  <si>
    <t>Asset Allocation</t>
  </si>
  <si>
    <t>Equity % - Domestic</t>
  </si>
  <si>
    <t>Equity % - Foreign</t>
  </si>
  <si>
    <t>Debt Securities % - Domestic</t>
  </si>
  <si>
    <t>Debt Securities % - Foreign</t>
  </si>
  <si>
    <t>Real Estate % - Domestic</t>
  </si>
  <si>
    <t>Real Estate % - Foreign</t>
  </si>
  <si>
    <t>Private Investments % - Domestic</t>
  </si>
  <si>
    <t>Private Investments % - Foreign</t>
  </si>
  <si>
    <t>Other Investments % - Domestic</t>
  </si>
  <si>
    <t>Other Investments % - Foreign</t>
  </si>
  <si>
    <t>Total Plan Obligations</t>
  </si>
  <si>
    <t>Total Plan Assets</t>
  </si>
  <si>
    <t>Ford Motor Co | Income Statement                                09-Nov-2023 11:11</t>
  </si>
  <si>
    <t>Income Statement</t>
  </si>
  <si>
    <t>Net Sales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</si>
  <si>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</si>
  <si>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</si>
  <si>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</si>
  <si>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</si>
  <si>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</si>
  <si>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</si>
  <si>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Advertising Expense</t>
  </si>
  <si>
    <t>Interest/Investment Income - Operating</t>
  </si>
  <si>
    <t>Investment Income - Operating</t>
  </si>
  <si>
    <t>Interest Exp.(Inc.),Net-Operating, Total</t>
  </si>
  <si>
    <t>Unusual Expense (Income)</t>
  </si>
  <si>
    <t>Impairment-Assets Held for Use</t>
  </si>
  <si>
    <t>Other Unusual Expense (Income)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</si>
  <si>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</si>
  <si>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</si>
  <si>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</si>
  <si>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</si>
  <si>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</si>
  <si>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</si>
  <si>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</si>
  <si>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</si>
  <si>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</si>
  <si>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Other, Net</t>
  </si>
  <si>
    <t>Other Non-Operating Income (Expense)</t>
  </si>
  <si>
    <t>Net Income Before Taxes</t>
  </si>
  <si>
    <t>Provision for Income Taxes</t>
  </si>
  <si>
    <t>Net Income After Taxes</t>
  </si>
  <si>
    <t>Net Income Before Extra. Items</t>
  </si>
  <si>
    <t>Extraordinary Item</t>
  </si>
  <si>
    <t>Total Extraordinary Items</t>
  </si>
  <si>
    <t>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</si>
  <si>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</si>
  <si>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</si>
  <si>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</si>
  <si>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</si>
  <si>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</si>
  <si>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Diluted Net Income</t>
  </si>
  <si>
    <t>Diluted Weighted Average Shares</t>
  </si>
  <si>
    <t>Diluted EPS Excluding ExtraOrd Items</t>
  </si>
  <si>
    <t>Diluted EPS Including ExtraOrd Items</t>
  </si>
  <si>
    <t>DPS - Common Stock Primary Issue</t>
  </si>
  <si>
    <t>Dividends per Share - Com Stock Issue 2</t>
  </si>
  <si>
    <t>Special DPS - Common Stock Primary Issue</t>
  </si>
  <si>
    <t>Gross Dividends - Common Stock</t>
  </si>
  <si>
    <t>Impairment-Assets Held for Sale, Suppl.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</si>
  <si>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</si>
  <si>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</si>
  <si>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</si>
  <si>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</si>
  <si>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</si>
  <si>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</si>
  <si>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</si>
  <si>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</si>
  <si>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</si>
  <si>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</si>
  <si>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</si>
  <si>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Depreciation, Supplemental</t>
  </si>
  <si>
    <t>Depreciation of Right-of-Use Assets,Sup.</t>
  </si>
  <si>
    <t>Interest Expense, Supplemental</t>
  </si>
  <si>
    <t>Interest Expense on Lease Liabs., Suppl.</t>
  </si>
  <si>
    <t>Interest Expense (Financial Oper), Suppl</t>
  </si>
  <si>
    <t>Rental Expense, Supplemental</t>
  </si>
  <si>
    <t>Stock-Based Compensation, Supplemental</t>
  </si>
  <si>
    <t>Variable Operating Lease Expenses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</si>
  <si>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</si>
  <si>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</si>
  <si>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</si>
  <si>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</si>
  <si>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</si>
  <si>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</si>
  <si>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</si>
  <si>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</si>
  <si>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</si>
  <si>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</si>
  <si>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</si>
  <si>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COVID-19 One-time Provisions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</si>
  <si>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</si>
  <si>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</si>
  <si>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</si>
  <si>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</si>
  <si>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</si>
  <si>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</si>
  <si>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</si>
  <si>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</si>
  <si>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</si>
  <si>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</si>
  <si>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</si>
  <si>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</si>
  <si>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Domestic Pension Plan Expense</t>
  </si>
  <si>
    <t>Interest Cost - Domestic</t>
  </si>
  <si>
    <t>Service Cost - Domestic</t>
  </si>
  <si>
    <t>Prior Service Cost - Domestic</t>
  </si>
  <si>
    <t>Expected Return on Assets - Domestic</t>
  </si>
  <si>
    <t>Actuarial Gains and Losses - Domestic</t>
  </si>
  <si>
    <t>Curtailments &amp; Settlements - Domestic</t>
  </si>
  <si>
    <t>Other Pension, Net - Domestic</t>
  </si>
  <si>
    <t>Foreign Pension Plan Expense</t>
  </si>
  <si>
    <t>Interest Cost - Foreign</t>
  </si>
  <si>
    <t>Service Cost - Foreign</t>
  </si>
  <si>
    <t>Prior Service Cost - Foreign</t>
  </si>
  <si>
    <t>Expected Return on Assets - Foreign</t>
  </si>
  <si>
    <t>Actuarial Gains and Losses - Foreign</t>
  </si>
  <si>
    <t>Curtailments &amp; Settlements - Foreign</t>
  </si>
  <si>
    <t>Other Pension, Net - Foreign</t>
  </si>
  <si>
    <t>Post-Retirement Plan Expense</t>
  </si>
  <si>
    <t>Interest Cost - Post-Retirement</t>
  </si>
  <si>
    <t>Service Cost - Post-Retirement</t>
  </si>
  <si>
    <t>Prior Service Cost - Post-Retirement</t>
  </si>
  <si>
    <t>Expected Return on Assets - Post-Retir.</t>
  </si>
  <si>
    <t>Curtailments &amp; Settlements - Post-Retir.</t>
  </si>
  <si>
    <t>Other Post-Retirement, Net</t>
  </si>
  <si>
    <t>Total Pension Expense</t>
  </si>
  <si>
    <t>Defined Contribution Expense - Domestic</t>
  </si>
  <si>
    <t>Defined Contribution Expense - Foreign</t>
  </si>
  <si>
    <t>Assumptions</t>
  </si>
  <si>
    <t>Expected Rate of Return - Domestic</t>
  </si>
  <si>
    <t>Expected Rate of Return - Foreign</t>
  </si>
  <si>
    <t>Expected Rate of Return - Post-Retir.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</si>
  <si>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</si>
  <si>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</si>
  <si>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</si>
  <si>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</si>
  <si>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</si>
  <si>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Ford Motor Ord Shs</t>
  </si>
  <si>
    <t>Cash Dividend</t>
  </si>
  <si>
    <t>$0.15 F</t>
  </si>
  <si>
    <t>$0.10 F</t>
  </si>
  <si>
    <t>$0.00 I</t>
  </si>
  <si>
    <t>(27-Oct) Ann. </t>
  </si>
  <si>
    <t>(19-Mar) Ann. </t>
  </si>
  <si>
    <t>(10-Oct) Ann. </t>
  </si>
  <si>
    <t>(11-Oct) Ann. </t>
  </si>
  <si>
    <t>$0.15 I</t>
  </si>
  <si>
    <t>(28-Jul) Ann. </t>
  </si>
  <si>
    <t>(08-Jan) Ann. </t>
  </si>
  <si>
    <t>(11-Jul) Ann. </t>
  </si>
  <si>
    <t>(12-Jul) Ann. </t>
  </si>
  <si>
    <t>$0.10 I</t>
  </si>
  <si>
    <t>(07-Apr) Ann. </t>
  </si>
  <si>
    <t>(08-Apr) Ann. </t>
  </si>
  <si>
    <t>(10-Apr) Ann. </t>
  </si>
  <si>
    <t>(10-Jan) Ann. </t>
  </si>
  <si>
    <t>(16-Jan) Ann. </t>
  </si>
  <si>
    <t>$0.13 S</t>
  </si>
  <si>
    <t>Capital Return</t>
  </si>
  <si>
    <t>0.99x</t>
  </si>
  <si>
    <t>(01-Mar) </t>
  </si>
  <si>
    <t>Dividends &amp; Capital Changes After Dec-2022</t>
  </si>
  <si>
    <t>(17-Oct) Ann. </t>
  </si>
  <si>
    <t>(13-Jul) Ann. </t>
  </si>
  <si>
    <t>(06-Apr) Ann. </t>
  </si>
  <si>
    <t>(03-Feb) Ann. </t>
  </si>
  <si>
    <t>$0.65 S</t>
  </si>
  <si>
    <t>Adj. Factor 0.95x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</si>
</sst>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0.00%_);\(0.00%\);_(&quot;–&quot;_)_%;_(@_)_%"/>
    <numFmt numFmtId="166" formatCode="_(#,##0.00_)_%;\(#,##0.00\)_%;_(&quot;–&quot;_)_%;_(@_)_%"/>
    <numFmt numFmtId="167" formatCode="_(* #,##0.0_);_(* \(#,##0.0\);_(* &quot;-&quot;?_);_(@_)"/>
    <numFmt numFmtId="168" formatCode="#,##0.0%"/>
    <numFmt numFmtId="169" formatCode="_(0.0%_);\(0.0%\);_(&quot;–&quot;_)_%;_(@_)_%"/>
    <numFmt numFmtId="170" formatCode="0.0%"/>
    <numFmt numFmtId="171" formatCode="_(#,##0.00_);\(#,##0.00\);_(&quot;–&quot;_);_(@_)"/>
    <numFmt numFmtId="172" formatCode="_(&quot;$&quot;* #,##0.0_);_(&quot;$&quot;* \(#,##0.0\);_(&quot;$&quot;* &quot;-&quot;?_);_(@_)"/>
    <numFmt numFmtId="173" formatCode="0.00000000000000%"/>
    <numFmt numFmtId="174" formatCode="0.00%;\(0.00%\)"/>
    <numFmt numFmtId="175" formatCode="&quot;Yes&quot;;&quot;Yes&quot;;&quot;No&quot;"/>
    <numFmt numFmtId="176" formatCode="_(* #,##0.0_);_(* \(#,##0.0\);_(* &quot;-&quot;??_);_(@_)"/>
    <numFmt numFmtId="177" formatCode="0.0%;\(0.0%\)"/>
    <numFmt numFmtId="178" formatCode="&quot;$&quot;#,##0.0_);[Red]\(&quot;$&quot;#,##0.0\)"/>
    <numFmt numFmtId="179" formatCode="_(0.00\ \x_);\(0.00\ \x\);_(&quot;–&quot;_);_(@_)"/>
    <numFmt numFmtId="180" formatCode="_(0.0%_);\(0.0%\);_(&quot;–&quot;_);_(@_)"/>
    <numFmt numFmtId="181" formatCode="_(* #,##0.000_);_(* \(#,##0.000\);_(* &quot;-&quot;???_);_(@_)"/>
    <numFmt numFmtId="182" formatCode="0.0\ \x"/>
    <numFmt numFmtId="183" formatCode="0.0%;\(0.0%\);\-_)_%;@_)_%"/>
    <numFmt numFmtId="184" formatCode="0.0\x_);\(0.0\x\);@_)"/>
    <numFmt numFmtId="185" formatCode="#,##0.0_);\(#,##0.0\);@_)"/>
    <numFmt numFmtId="186" formatCode="#,##0.00_);\(#,##0.00\);@_)"/>
    <numFmt numFmtId="187" formatCode="0.00%;[Red]\(0.00%\)"/>
    <numFmt numFmtId="188" formatCode="#,##0.0_);[Red]\(#,##0.0\)"/>
    <numFmt numFmtId="189" formatCode="#,##0.000"/>
    <numFmt numFmtId="190" formatCode="#,##0.0000"/>
    <numFmt numFmtId="191" formatCode="&quot;$&quot;#,##0.00"/>
  </numFmts>
  <fonts count="58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9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0"/>
      <color rgb="FF00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7092BE"/>
      </patternFill>
    </fill>
    <fill>
      <patternFill patternType="solid">
        <fgColor rgb="FFF1F1F1"/>
      </patternFill>
    </fill>
    <fill>
      <patternFill patternType="solid">
        <fgColor rgb="FFEE7600"/>
      </patternFill>
    </fill>
    <fill>
      <patternFill patternType="solid">
        <fgColor rgb="FF3278C8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55555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13" borderId="7" applyNumberFormat="0" applyFont="0" applyAlignment="0" applyProtection="0"/>
    <xf numFmtId="0" fontId="13" fillId="0" borderId="0"/>
    <xf numFmtId="0" fontId="48" fillId="0" borderId="0"/>
    <xf numFmtId="44" fontId="5" fillId="0" borderId="0" applyFont="0" applyFill="0" applyBorder="0" applyAlignment="0" applyProtection="0"/>
  </cellStyleXfs>
  <cellXfs count="403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wrapText="1"/>
    </xf>
    <xf numFmtId="1" fontId="1" fillId="0" borderId="2" xfId="0" applyNumberFormat="1" applyFont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wrapText="1"/>
    </xf>
    <xf numFmtId="1" fontId="1" fillId="4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/>
    <xf numFmtId="164" fontId="3" fillId="6" borderId="2" xfId="0" applyNumberFormat="1" applyFont="1" applyFill="1" applyBorder="1" applyAlignment="1">
      <alignment horizontal="right"/>
    </xf>
    <xf numFmtId="164" fontId="3" fillId="6" borderId="2" xfId="0" applyNumberFormat="1" applyFont="1" applyFill="1" applyBorder="1"/>
    <xf numFmtId="164" fontId="3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/>
    <xf numFmtId="164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>
      <alignment wrapText="1"/>
    </xf>
    <xf numFmtId="164" fontId="1" fillId="7" borderId="1" xfId="0" applyNumberFormat="1" applyFont="1" applyFill="1" applyBorder="1" applyAlignment="1">
      <alignment horizontal="right"/>
    </xf>
    <xf numFmtId="164" fontId="1" fillId="8" borderId="1" xfId="0" applyNumberFormat="1" applyFont="1" applyFill="1" applyBorder="1" applyAlignment="1">
      <alignment horizontal="right"/>
    </xf>
    <xf numFmtId="164" fontId="1" fillId="9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4" fontId="2" fillId="10" borderId="2" xfId="0" applyNumberFormat="1" applyFont="1" applyFill="1" applyBorder="1" applyAlignment="1">
      <alignment wrapText="1"/>
    </xf>
    <xf numFmtId="164" fontId="2" fillId="8" borderId="1" xfId="0" applyNumberFormat="1" applyFont="1" applyFill="1" applyBorder="1" applyAlignment="1">
      <alignment wrapText="1"/>
    </xf>
    <xf numFmtId="164" fontId="2" fillId="11" borderId="1" xfId="0" applyNumberFormat="1" applyFont="1" applyFill="1" applyBorder="1" applyAlignment="1">
      <alignment wrapText="1"/>
    </xf>
    <xf numFmtId="164" fontId="2" fillId="10" borderId="3" xfId="0" applyNumberFormat="1" applyFont="1" applyFill="1" applyBorder="1" applyAlignment="1">
      <alignment wrapText="1"/>
    </xf>
    <xf numFmtId="164" fontId="2" fillId="10" borderId="4" xfId="0" applyNumberFormat="1" applyFont="1" applyFill="1" applyBorder="1" applyAlignment="1">
      <alignment wrapText="1"/>
    </xf>
    <xf numFmtId="164" fontId="2" fillId="10" borderId="5" xfId="0" applyNumberFormat="1" applyFont="1" applyFill="1" applyBorder="1" applyAlignment="1">
      <alignment wrapText="1"/>
    </xf>
    <xf numFmtId="164" fontId="2" fillId="10" borderId="1" xfId="0" applyNumberFormat="1" applyFont="1" applyFill="1" applyBorder="1" applyAlignment="1">
      <alignment wrapText="1"/>
    </xf>
    <xf numFmtId="164" fontId="2" fillId="10" borderId="6" xfId="0" applyNumberFormat="1" applyFont="1" applyFill="1" applyBorder="1" applyAlignment="1">
      <alignment wrapText="1"/>
    </xf>
    <xf numFmtId="164" fontId="2" fillId="10" borderId="4" xfId="0" applyNumberFormat="1" applyFont="1" applyFill="1" applyBorder="1" applyAlignment="1">
      <alignment horizontal="right"/>
    </xf>
    <xf numFmtId="164" fontId="2" fillId="10" borderId="5" xfId="0" applyNumberFormat="1" applyFont="1" applyFill="1" applyBorder="1" applyAlignment="1">
      <alignment horizontal="right"/>
    </xf>
    <xf numFmtId="164" fontId="2" fillId="10" borderId="1" xfId="0" applyNumberFormat="1" applyFont="1" applyFill="1" applyBorder="1" applyAlignment="1">
      <alignment horizontal="right"/>
    </xf>
    <xf numFmtId="164" fontId="3" fillId="12" borderId="1" xfId="0" applyNumberFormat="1" applyFont="1" applyFill="1" applyBorder="1" applyAlignment="1">
      <alignment horizontal="right"/>
    </xf>
    <xf numFmtId="164" fontId="3" fillId="12" borderId="5" xfId="0" applyNumberFormat="1" applyFont="1" applyFill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" fontId="1" fillId="7" borderId="1" xfId="0" applyNumberFormat="1" applyFont="1" applyFill="1" applyBorder="1" applyAlignment="1">
      <alignment horizontal="right"/>
    </xf>
    <xf numFmtId="1" fontId="1" fillId="8" borderId="1" xfId="0" applyNumberFormat="1" applyFont="1" applyFill="1" applyBorder="1" applyAlignment="1">
      <alignment horizontal="right"/>
    </xf>
    <xf numFmtId="164" fontId="2" fillId="10" borderId="0" xfId="0" applyNumberFormat="1" applyFont="1" applyFill="1" applyAlignment="1">
      <alignment wrapText="1"/>
    </xf>
    <xf numFmtId="0" fontId="4" fillId="0" borderId="0" xfId="0" applyFont="1"/>
    <xf numFmtId="3" fontId="4" fillId="0" borderId="0" xfId="0" applyNumberFormat="1" applyFont="1"/>
    <xf numFmtId="0" fontId="10" fillId="14" borderId="0" xfId="0" applyFont="1" applyFill="1"/>
    <xf numFmtId="0" fontId="11" fillId="14" borderId="0" xfId="0" applyFont="1" applyFill="1"/>
    <xf numFmtId="0" fontId="0" fillId="14" borderId="0" xfId="0" applyFill="1"/>
    <xf numFmtId="0" fontId="12" fillId="14" borderId="0" xfId="0" applyFont="1" applyFill="1"/>
    <xf numFmtId="0" fontId="14" fillId="14" borderId="0" xfId="4" applyFont="1" applyFill="1"/>
    <xf numFmtId="9" fontId="0" fillId="14" borderId="0" xfId="0" applyNumberFormat="1" applyFill="1"/>
    <xf numFmtId="0" fontId="11" fillId="14" borderId="8" xfId="0" applyFont="1" applyFill="1" applyBorder="1"/>
    <xf numFmtId="0" fontId="15" fillId="14" borderId="8" xfId="0" applyFont="1" applyFill="1" applyBorder="1"/>
    <xf numFmtId="0" fontId="16" fillId="14" borderId="8" xfId="0" applyFont="1" applyFill="1" applyBorder="1"/>
    <xf numFmtId="0" fontId="16" fillId="14" borderId="0" xfId="0" applyFont="1" applyFill="1"/>
    <xf numFmtId="0" fontId="4" fillId="14" borderId="0" xfId="4" applyFont="1" applyFill="1"/>
    <xf numFmtId="165" fontId="17" fillId="14" borderId="9" xfId="0" applyNumberFormat="1" applyFont="1" applyFill="1" applyBorder="1" applyAlignment="1">
      <alignment horizontal="center"/>
    </xf>
    <xf numFmtId="165" fontId="18" fillId="14" borderId="0" xfId="0" applyNumberFormat="1" applyFont="1" applyFill="1"/>
    <xf numFmtId="165" fontId="19" fillId="14" borderId="0" xfId="0" applyNumberFormat="1" applyFont="1" applyFill="1"/>
    <xf numFmtId="0" fontId="20" fillId="14" borderId="0" xfId="0" applyFont="1" applyFill="1"/>
    <xf numFmtId="1" fontId="21" fillId="14" borderId="0" xfId="0" applyNumberFormat="1" applyFont="1" applyFill="1"/>
    <xf numFmtId="0" fontId="21" fillId="14" borderId="0" xfId="0" applyFont="1" applyFill="1"/>
    <xf numFmtId="0" fontId="18" fillId="14" borderId="0" xfId="0" applyFont="1" applyFill="1"/>
    <xf numFmtId="1" fontId="18" fillId="14" borderId="0" xfId="0" applyNumberFormat="1" applyFont="1" applyFill="1"/>
    <xf numFmtId="0" fontId="8" fillId="14" borderId="0" xfId="4" applyFont="1" applyFill="1"/>
    <xf numFmtId="0" fontId="5" fillId="14" borderId="0" xfId="4" applyFont="1" applyFill="1"/>
    <xf numFmtId="0" fontId="5" fillId="14" borderId="0" xfId="4" applyFont="1" applyFill="1" applyAlignment="1">
      <alignment horizontal="center"/>
    </xf>
    <xf numFmtId="0" fontId="5" fillId="14" borderId="8" xfId="4" applyFont="1" applyFill="1" applyBorder="1"/>
    <xf numFmtId="0" fontId="5" fillId="14" borderId="8" xfId="4" applyFont="1" applyFill="1" applyBorder="1" applyAlignment="1">
      <alignment horizontal="center"/>
    </xf>
    <xf numFmtId="0" fontId="22" fillId="14" borderId="0" xfId="4" applyFont="1" applyFill="1"/>
    <xf numFmtId="0" fontId="23" fillId="0" borderId="0" xfId="0" applyFont="1"/>
    <xf numFmtId="166" fontId="24" fillId="14" borderId="0" xfId="0" applyNumberFormat="1" applyFont="1" applyFill="1"/>
    <xf numFmtId="167" fontId="24" fillId="14" borderId="0" xfId="0" applyNumberFormat="1" applyFont="1" applyFill="1"/>
    <xf numFmtId="168" fontId="23" fillId="0" borderId="0" xfId="0" applyNumberFormat="1" applyFont="1"/>
    <xf numFmtId="169" fontId="25" fillId="14" borderId="0" xfId="0" applyNumberFormat="1" applyFont="1" applyFill="1"/>
    <xf numFmtId="167" fontId="22" fillId="14" borderId="0" xfId="4" applyNumberFormat="1" applyFont="1" applyFill="1"/>
    <xf numFmtId="170" fontId="22" fillId="14" borderId="0" xfId="2" applyNumberFormat="1" applyFont="1" applyFill="1"/>
    <xf numFmtId="171" fontId="0" fillId="14" borderId="0" xfId="0" applyNumberFormat="1" applyFill="1"/>
    <xf numFmtId="9" fontId="0" fillId="14" borderId="0" xfId="2" applyFont="1" applyFill="1"/>
    <xf numFmtId="172" fontId="24" fillId="14" borderId="0" xfId="0" applyNumberFormat="1" applyFont="1" applyFill="1"/>
    <xf numFmtId="0" fontId="26" fillId="14" borderId="1" xfId="4" applyFont="1" applyFill="1" applyBorder="1" applyAlignment="1">
      <alignment horizontal="left"/>
    </xf>
    <xf numFmtId="0" fontId="26" fillId="14" borderId="5" xfId="4" applyFont="1" applyFill="1" applyBorder="1"/>
    <xf numFmtId="166" fontId="26" fillId="14" borderId="5" xfId="4" applyNumberFormat="1" applyFont="1" applyFill="1" applyBorder="1"/>
    <xf numFmtId="172" fontId="26" fillId="14" borderId="5" xfId="4" applyNumberFormat="1" applyFont="1" applyFill="1" applyBorder="1"/>
    <xf numFmtId="169" fontId="26" fillId="14" borderId="5" xfId="4" applyNumberFormat="1" applyFont="1" applyFill="1" applyBorder="1"/>
    <xf numFmtId="43" fontId="26" fillId="14" borderId="4" xfId="4" applyNumberFormat="1" applyFont="1" applyFill="1" applyBorder="1"/>
    <xf numFmtId="0" fontId="8" fillId="14" borderId="1" xfId="4" applyFont="1" applyFill="1" applyBorder="1"/>
    <xf numFmtId="0" fontId="8" fillId="14" borderId="5" xfId="4" applyFont="1" applyFill="1" applyBorder="1"/>
    <xf numFmtId="166" fontId="8" fillId="14" borderId="5" xfId="4" applyNumberFormat="1" applyFont="1" applyFill="1" applyBorder="1"/>
    <xf numFmtId="42" fontId="6" fillId="14" borderId="5" xfId="4" applyNumberFormat="1" applyFont="1" applyFill="1" applyBorder="1"/>
    <xf numFmtId="9" fontId="6" fillId="14" borderId="5" xfId="4" applyNumberFormat="1" applyFont="1" applyFill="1" applyBorder="1"/>
    <xf numFmtId="43" fontId="6" fillId="14" borderId="4" xfId="4" applyNumberFormat="1" applyFont="1" applyFill="1" applyBorder="1"/>
    <xf numFmtId="10" fontId="0" fillId="14" borderId="0" xfId="0" applyNumberFormat="1" applyFill="1"/>
    <xf numFmtId="0" fontId="27" fillId="14" borderId="0" xfId="4" applyFont="1" applyFill="1"/>
    <xf numFmtId="0" fontId="27" fillId="14" borderId="8" xfId="4" applyFont="1" applyFill="1" applyBorder="1"/>
    <xf numFmtId="0" fontId="4" fillId="14" borderId="10" xfId="4" applyFont="1" applyFill="1" applyBorder="1"/>
    <xf numFmtId="166" fontId="4" fillId="14" borderId="10" xfId="4" applyNumberFormat="1" applyFont="1" applyFill="1" applyBorder="1"/>
    <xf numFmtId="169" fontId="4" fillId="14" borderId="10" xfId="4" applyNumberFormat="1" applyFont="1" applyFill="1" applyBorder="1"/>
    <xf numFmtId="172" fontId="25" fillId="14" borderId="0" xfId="0" applyNumberFormat="1" applyFont="1" applyFill="1"/>
    <xf numFmtId="170" fontId="28" fillId="14" borderId="10" xfId="4" applyNumberFormat="1" applyFont="1" applyFill="1" applyBorder="1"/>
    <xf numFmtId="43" fontId="4" fillId="14" borderId="10" xfId="4" applyNumberFormat="1" applyFont="1" applyFill="1" applyBorder="1"/>
    <xf numFmtId="166" fontId="4" fillId="14" borderId="0" xfId="4" applyNumberFormat="1" applyFont="1" applyFill="1"/>
    <xf numFmtId="167" fontId="4" fillId="14" borderId="0" xfId="4" applyNumberFormat="1" applyFont="1" applyFill="1"/>
    <xf numFmtId="169" fontId="4" fillId="14" borderId="0" xfId="4" applyNumberFormat="1" applyFont="1" applyFill="1"/>
    <xf numFmtId="170" fontId="28" fillId="14" borderId="0" xfId="4" applyNumberFormat="1" applyFont="1" applyFill="1"/>
    <xf numFmtId="43" fontId="4" fillId="14" borderId="0" xfId="4" applyNumberFormat="1" applyFont="1" applyFill="1"/>
    <xf numFmtId="173" fontId="0" fillId="14" borderId="0" xfId="0" applyNumberFormat="1" applyFill="1"/>
    <xf numFmtId="0" fontId="5" fillId="14" borderId="11" xfId="4" applyFont="1" applyFill="1" applyBorder="1"/>
    <xf numFmtId="0" fontId="6" fillId="14" borderId="10" xfId="4" applyFont="1" applyFill="1" applyBorder="1"/>
    <xf numFmtId="174" fontId="5" fillId="14" borderId="12" xfId="4" applyNumberFormat="1" applyFont="1" applyFill="1" applyBorder="1"/>
    <xf numFmtId="0" fontId="5" fillId="14" borderId="13" xfId="4" applyFont="1" applyFill="1" applyBorder="1"/>
    <xf numFmtId="0" fontId="6" fillId="14" borderId="0" xfId="4" applyFont="1" applyFill="1"/>
    <xf numFmtId="174" fontId="5" fillId="14" borderId="14" xfId="4" applyNumberFormat="1" applyFont="1" applyFill="1" applyBorder="1"/>
    <xf numFmtId="0" fontId="5" fillId="14" borderId="15" xfId="4" applyFont="1" applyFill="1" applyBorder="1"/>
    <xf numFmtId="0" fontId="6" fillId="14" borderId="8" xfId="4" applyFont="1" applyFill="1" applyBorder="1"/>
    <xf numFmtId="174" fontId="5" fillId="14" borderId="16" xfId="4" applyNumberFormat="1" applyFont="1" applyFill="1" applyBorder="1"/>
    <xf numFmtId="0" fontId="4" fillId="14" borderId="8" xfId="4" applyFont="1" applyFill="1" applyBorder="1"/>
    <xf numFmtId="165" fontId="5" fillId="14" borderId="12" xfId="4" applyNumberFormat="1" applyFont="1" applyFill="1" applyBorder="1"/>
    <xf numFmtId="165" fontId="5" fillId="14" borderId="14" xfId="4" applyNumberFormat="1" applyFont="1" applyFill="1" applyBorder="1"/>
    <xf numFmtId="165" fontId="5" fillId="14" borderId="16" xfId="4" applyNumberFormat="1" applyFont="1" applyFill="1" applyBorder="1"/>
    <xf numFmtId="0" fontId="6" fillId="14" borderId="5" xfId="4" applyFont="1" applyFill="1" applyBorder="1"/>
    <xf numFmtId="165" fontId="8" fillId="14" borderId="4" xfId="4" applyNumberFormat="1" applyFont="1" applyFill="1" applyBorder="1"/>
    <xf numFmtId="0" fontId="32" fillId="0" borderId="0" xfId="0" applyFont="1"/>
    <xf numFmtId="0" fontId="13" fillId="0" borderId="0" xfId="4"/>
    <xf numFmtId="0" fontId="4" fillId="0" borderId="0" xfId="4" applyFont="1"/>
    <xf numFmtId="0" fontId="4" fillId="0" borderId="0" xfId="4" applyFont="1" applyAlignment="1">
      <alignment horizontal="right"/>
    </xf>
    <xf numFmtId="0" fontId="17" fillId="0" borderId="2" xfId="0" applyFont="1" applyBorder="1" applyAlignment="1">
      <alignment horizontal="center"/>
    </xf>
    <xf numFmtId="14" fontId="17" fillId="0" borderId="2" xfId="0" applyNumberFormat="1" applyFont="1" applyBorder="1"/>
    <xf numFmtId="14" fontId="17" fillId="0" borderId="2" xfId="0" applyNumberFormat="1" applyFont="1" applyBorder="1" applyAlignment="1">
      <alignment horizontal="center"/>
    </xf>
    <xf numFmtId="0" fontId="5" fillId="0" borderId="0" xfId="0" applyFont="1"/>
    <xf numFmtId="0" fontId="27" fillId="15" borderId="0" xfId="4" applyFont="1" applyFill="1"/>
    <xf numFmtId="0" fontId="33" fillId="15" borderId="8" xfId="4" applyFont="1" applyFill="1" applyBorder="1"/>
    <xf numFmtId="0" fontId="27" fillId="15" borderId="8" xfId="4" applyFont="1" applyFill="1" applyBorder="1"/>
    <xf numFmtId="14" fontId="27" fillId="15" borderId="8" xfId="4" applyNumberFormat="1" applyFont="1" applyFill="1" applyBorder="1" applyAlignment="1">
      <alignment horizontal="center"/>
    </xf>
    <xf numFmtId="0" fontId="26" fillId="0" borderId="0" xfId="4" applyFont="1"/>
    <xf numFmtId="0" fontId="34" fillId="16" borderId="1" xfId="3" applyFont="1" applyFill="1" applyBorder="1" applyAlignment="1">
      <alignment horizontal="right"/>
    </xf>
    <xf numFmtId="0" fontId="34" fillId="16" borderId="4" xfId="3" applyFont="1" applyFill="1" applyBorder="1" applyAlignment="1">
      <alignment horizontal="right"/>
    </xf>
    <xf numFmtId="0" fontId="26" fillId="0" borderId="17" xfId="4" applyFont="1" applyBorder="1"/>
    <xf numFmtId="0" fontId="4" fillId="0" borderId="17" xfId="4" applyFont="1" applyBorder="1"/>
    <xf numFmtId="175" fontId="9" fillId="0" borderId="18" xfId="4" applyNumberFormat="1" applyFont="1" applyBorder="1" applyAlignment="1">
      <alignment horizontal="center"/>
    </xf>
    <xf numFmtId="44" fontId="17" fillId="16" borderId="3" xfId="0" applyNumberFormat="1" applyFont="1" applyFill="1" applyBorder="1"/>
    <xf numFmtId="0" fontId="35" fillId="17" borderId="0" xfId="4" applyFont="1" applyFill="1"/>
    <xf numFmtId="0" fontId="4" fillId="0" borderId="0" xfId="4" applyFont="1" applyAlignment="1">
      <alignment horizontal="left" indent="1"/>
    </xf>
    <xf numFmtId="167" fontId="5" fillId="0" borderId="2" xfId="0" applyNumberFormat="1" applyFont="1" applyBorder="1"/>
    <xf numFmtId="0" fontId="36" fillId="0" borderId="0" xfId="4" applyFont="1"/>
    <xf numFmtId="176" fontId="4" fillId="0" borderId="2" xfId="1" applyNumberFormat="1" applyFont="1" applyFill="1" applyBorder="1"/>
    <xf numFmtId="177" fontId="18" fillId="16" borderId="2" xfId="3" applyNumberFormat="1" applyFont="1" applyFill="1" applyBorder="1" applyAlignment="1"/>
    <xf numFmtId="0" fontId="4" fillId="0" borderId="8" xfId="4" applyFont="1" applyBorder="1" applyAlignment="1">
      <alignment horizontal="left" indent="1"/>
    </xf>
    <xf numFmtId="0" fontId="4" fillId="0" borderId="8" xfId="4" applyFont="1" applyBorder="1"/>
    <xf numFmtId="0" fontId="36" fillId="0" borderId="0" xfId="4" applyFont="1" applyAlignment="1">
      <alignment wrapText="1"/>
    </xf>
    <xf numFmtId="178" fontId="4" fillId="0" borderId="2" xfId="4" applyNumberFormat="1" applyFont="1" applyBorder="1"/>
    <xf numFmtId="174" fontId="18" fillId="16" borderId="2" xfId="3" applyNumberFormat="1" applyFont="1" applyFill="1" applyBorder="1" applyAlignment="1"/>
    <xf numFmtId="172" fontId="8" fillId="0" borderId="2" xfId="0" applyNumberFormat="1" applyFont="1" applyBorder="1"/>
    <xf numFmtId="172" fontId="8" fillId="0" borderId="0" xfId="0" applyNumberFormat="1" applyFont="1"/>
    <xf numFmtId="176" fontId="4" fillId="0" borderId="0" xfId="1" applyNumberFormat="1" applyFont="1" applyFill="1" applyBorder="1"/>
    <xf numFmtId="172" fontId="26" fillId="0" borderId="0" xfId="4" applyNumberFormat="1" applyFont="1"/>
    <xf numFmtId="179" fontId="18" fillId="16" borderId="2" xfId="0" applyNumberFormat="1" applyFont="1" applyFill="1" applyBorder="1"/>
    <xf numFmtId="177" fontId="4" fillId="0" borderId="2" xfId="4" applyNumberFormat="1" applyFont="1" applyBorder="1"/>
    <xf numFmtId="170" fontId="4" fillId="0" borderId="2" xfId="2" applyNumberFormat="1" applyFont="1" applyFill="1" applyBorder="1"/>
    <xf numFmtId="44" fontId="5" fillId="0" borderId="0" xfId="0" applyNumberFormat="1" applyFont="1"/>
    <xf numFmtId="177" fontId="4" fillId="0" borderId="0" xfId="4" applyNumberFormat="1" applyFont="1"/>
    <xf numFmtId="167" fontId="17" fillId="16" borderId="19" xfId="0" applyNumberFormat="1" applyFont="1" applyFill="1" applyBorder="1"/>
    <xf numFmtId="167" fontId="17" fillId="0" borderId="0" xfId="0" applyNumberFormat="1" applyFont="1"/>
    <xf numFmtId="180" fontId="18" fillId="0" borderId="0" xfId="0" applyNumberFormat="1" applyFont="1"/>
    <xf numFmtId="0" fontId="26" fillId="0" borderId="0" xfId="4" applyFont="1" applyAlignment="1">
      <alignment horizontal="left" indent="1"/>
    </xf>
    <xf numFmtId="167" fontId="26" fillId="0" borderId="2" xfId="4" applyNumberFormat="1" applyFont="1" applyBorder="1"/>
    <xf numFmtId="180" fontId="18" fillId="16" borderId="2" xfId="0" applyNumberFormat="1" applyFont="1" applyFill="1" applyBorder="1"/>
    <xf numFmtId="181" fontId="17" fillId="16" borderId="20" xfId="0" applyNumberFormat="1" applyFont="1" applyFill="1" applyBorder="1"/>
    <xf numFmtId="181" fontId="17" fillId="16" borderId="21" xfId="0" applyNumberFormat="1" applyFont="1" applyFill="1" applyBorder="1"/>
    <xf numFmtId="172" fontId="5" fillId="0" borderId="0" xfId="0" applyNumberFormat="1" applyFont="1"/>
    <xf numFmtId="182" fontId="37" fillId="0" borderId="0" xfId="4" applyNumberFormat="1" applyFont="1"/>
    <xf numFmtId="0" fontId="26" fillId="0" borderId="2" xfId="4" applyFont="1" applyBorder="1"/>
    <xf numFmtId="0" fontId="4" fillId="0" borderId="2" xfId="4" applyFont="1" applyBorder="1"/>
    <xf numFmtId="44" fontId="26" fillId="0" borderId="2" xfId="4" applyNumberFormat="1" applyFont="1" applyBorder="1"/>
    <xf numFmtId="0" fontId="4" fillId="0" borderId="5" xfId="4" applyFont="1" applyBorder="1"/>
    <xf numFmtId="0" fontId="17" fillId="0" borderId="0" xfId="4" applyFont="1" applyAlignment="1">
      <alignment horizontal="center"/>
    </xf>
    <xf numFmtId="0" fontId="4" fillId="0" borderId="0" xfId="4" applyFont="1" applyAlignment="1">
      <alignment horizontal="center"/>
    </xf>
    <xf numFmtId="0" fontId="26" fillId="15" borderId="0" xfId="4" applyFont="1" applyFill="1"/>
    <xf numFmtId="0" fontId="26" fillId="15" borderId="8" xfId="4" applyFont="1" applyFill="1" applyBorder="1"/>
    <xf numFmtId="0" fontId="26" fillId="15" borderId="8" xfId="4" applyFont="1" applyFill="1" applyBorder="1" applyAlignment="1">
      <alignment horizontal="centerContinuous"/>
    </xf>
    <xf numFmtId="0" fontId="38" fillId="15" borderId="8" xfId="4" applyFont="1" applyFill="1" applyBorder="1" applyAlignment="1">
      <alignment horizontal="centerContinuous"/>
    </xf>
    <xf numFmtId="0" fontId="38" fillId="15" borderId="16" xfId="4" applyFont="1" applyFill="1" applyBorder="1" applyAlignment="1">
      <alignment horizontal="centerContinuous"/>
    </xf>
    <xf numFmtId="0" fontId="26" fillId="18" borderId="8" xfId="4" applyFont="1" applyFill="1" applyBorder="1" applyAlignment="1">
      <alignment horizontal="centerContinuous"/>
    </xf>
    <xf numFmtId="0" fontId="38" fillId="18" borderId="8" xfId="4" applyFont="1" applyFill="1" applyBorder="1" applyAlignment="1">
      <alignment horizontal="centerContinuous"/>
    </xf>
    <xf numFmtId="0" fontId="9" fillId="0" borderId="0" xfId="4" applyFont="1"/>
    <xf numFmtId="0" fontId="26" fillId="15" borderId="8" xfId="4" applyFont="1" applyFill="1" applyBorder="1" applyAlignment="1">
      <alignment horizontal="center"/>
    </xf>
    <xf numFmtId="0" fontId="39" fillId="15" borderId="16" xfId="4" applyFont="1" applyFill="1" applyBorder="1" applyAlignment="1">
      <alignment horizontal="center"/>
    </xf>
    <xf numFmtId="0" fontId="26" fillId="18" borderId="8" xfId="4" applyFont="1" applyFill="1" applyBorder="1" applyAlignment="1">
      <alignment horizontal="center"/>
    </xf>
    <xf numFmtId="172" fontId="34" fillId="0" borderId="0" xfId="4" applyNumberFormat="1" applyFont="1"/>
    <xf numFmtId="42" fontId="40" fillId="0" borderId="0" xfId="4" applyNumberFormat="1" applyFont="1"/>
    <xf numFmtId="0" fontId="7" fillId="0" borderId="0" xfId="4" applyFont="1"/>
    <xf numFmtId="0" fontId="41" fillId="0" borderId="0" xfId="4" applyFont="1" applyAlignment="1">
      <alignment horizontal="left" indent="1"/>
    </xf>
    <xf numFmtId="177" fontId="41" fillId="0" borderId="0" xfId="4" applyNumberFormat="1" applyFont="1"/>
    <xf numFmtId="177" fontId="18" fillId="16" borderId="7" xfId="3" applyNumberFormat="1" applyFont="1" applyFill="1" applyAlignment="1"/>
    <xf numFmtId="177" fontId="7" fillId="0" borderId="0" xfId="4" applyNumberFormat="1" applyFont="1"/>
    <xf numFmtId="177" fontId="9" fillId="0" borderId="0" xfId="4" applyNumberFormat="1" applyFont="1"/>
    <xf numFmtId="170" fontId="9" fillId="0" borderId="0" xfId="2" applyNumberFormat="1" applyFont="1" applyFill="1" applyBorder="1"/>
    <xf numFmtId="167" fontId="34" fillId="0" borderId="0" xfId="4" applyNumberFormat="1" applyFont="1"/>
    <xf numFmtId="167" fontId="26" fillId="0" borderId="0" xfId="4" applyNumberFormat="1" applyFont="1"/>
    <xf numFmtId="42" fontId="28" fillId="0" borderId="0" xfId="4" applyNumberFormat="1" applyFont="1"/>
    <xf numFmtId="41" fontId="4" fillId="0" borderId="0" xfId="4" applyNumberFormat="1" applyFont="1"/>
    <xf numFmtId="167" fontId="4" fillId="0" borderId="0" xfId="4" applyNumberFormat="1" applyFont="1"/>
    <xf numFmtId="6" fontId="4" fillId="0" borderId="0" xfId="4" applyNumberFormat="1" applyFont="1"/>
    <xf numFmtId="167" fontId="17" fillId="0" borderId="0" xfId="4" applyNumberFormat="1" applyFont="1"/>
    <xf numFmtId="0" fontId="4" fillId="0" borderId="0" xfId="4" applyFont="1" applyAlignment="1">
      <alignment horizontal="left" indent="2"/>
    </xf>
    <xf numFmtId="6" fontId="7" fillId="0" borderId="0" xfId="4" applyNumberFormat="1" applyFont="1"/>
    <xf numFmtId="0" fontId="26" fillId="0" borderId="10" xfId="4" applyFont="1" applyBorder="1" applyAlignment="1">
      <alignment horizontal="left"/>
    </xf>
    <xf numFmtId="0" fontId="4" fillId="0" borderId="10" xfId="4" applyFont="1" applyBorder="1"/>
    <xf numFmtId="167" fontId="26" fillId="0" borderId="10" xfId="4" applyNumberFormat="1" applyFont="1" applyBorder="1"/>
    <xf numFmtId="41" fontId="42" fillId="0" borderId="0" xfId="4" applyNumberFormat="1" applyFont="1"/>
    <xf numFmtId="0" fontId="26" fillId="0" borderId="0" xfId="4" applyFont="1" applyAlignment="1">
      <alignment horizontal="left"/>
    </xf>
    <xf numFmtId="167" fontId="17" fillId="17" borderId="0" xfId="4" applyNumberFormat="1" applyFont="1" applyFill="1"/>
    <xf numFmtId="6" fontId="28" fillId="0" borderId="0" xfId="4" applyNumberFormat="1" applyFont="1"/>
    <xf numFmtId="170" fontId="4" fillId="0" borderId="0" xfId="2" applyNumberFormat="1" applyFont="1" applyFill="1" applyBorder="1"/>
    <xf numFmtId="172" fontId="26" fillId="15" borderId="0" xfId="4" applyNumberFormat="1" applyFont="1" applyFill="1"/>
    <xf numFmtId="172" fontId="4" fillId="0" borderId="0" xfId="4" applyNumberFormat="1" applyFont="1"/>
    <xf numFmtId="0" fontId="26" fillId="18" borderId="0" xfId="4" applyFont="1" applyFill="1"/>
    <xf numFmtId="172" fontId="26" fillId="18" borderId="0" xfId="4" applyNumberFormat="1" applyFont="1" applyFill="1"/>
    <xf numFmtId="0" fontId="8" fillId="0" borderId="0" xfId="0" applyFont="1"/>
    <xf numFmtId="0" fontId="43" fillId="0" borderId="0" xfId="0" applyFont="1"/>
    <xf numFmtId="0" fontId="9" fillId="15" borderId="11" xfId="0" applyFont="1" applyFill="1" applyBorder="1"/>
    <xf numFmtId="0" fontId="9" fillId="15" borderId="5" xfId="0" applyFont="1" applyFill="1" applyBorder="1"/>
    <xf numFmtId="0" fontId="8" fillId="15" borderId="5" xfId="0" applyFont="1" applyFill="1" applyBorder="1" applyAlignment="1">
      <alignment horizontal="centerContinuous"/>
    </xf>
    <xf numFmtId="0" fontId="8" fillId="15" borderId="4" xfId="0" applyFont="1" applyFill="1" applyBorder="1" applyAlignment="1">
      <alignment horizontal="centerContinuous"/>
    </xf>
    <xf numFmtId="0" fontId="9" fillId="0" borderId="0" xfId="0" applyFont="1"/>
    <xf numFmtId="0" fontId="6" fillId="0" borderId="0" xfId="0" applyFont="1" applyAlignment="1">
      <alignment horizontal="centerContinuous"/>
    </xf>
    <xf numFmtId="0" fontId="9" fillId="15" borderId="13" xfId="0" applyFont="1" applyFill="1" applyBorder="1"/>
    <xf numFmtId="177" fontId="44" fillId="18" borderId="13" xfId="0" applyNumberFormat="1" applyFont="1" applyFill="1" applyBorder="1"/>
    <xf numFmtId="183" fontId="8" fillId="18" borderId="0" xfId="0" applyNumberFormat="1" applyFont="1" applyFill="1" applyAlignment="1">
      <alignment horizontal="center"/>
    </xf>
    <xf numFmtId="170" fontId="8" fillId="18" borderId="0" xfId="0" applyNumberFormat="1" applyFont="1" applyFill="1" applyAlignment="1">
      <alignment horizontal="center"/>
    </xf>
    <xf numFmtId="170" fontId="8" fillId="18" borderId="5" xfId="0" applyNumberFormat="1" applyFont="1" applyFill="1" applyBorder="1" applyAlignment="1">
      <alignment horizontal="center"/>
    </xf>
    <xf numFmtId="10" fontId="8" fillId="0" borderId="0" xfId="0" applyNumberFormat="1" applyFont="1"/>
    <xf numFmtId="177" fontId="44" fillId="0" borderId="0" xfId="0" applyNumberFormat="1" applyFont="1"/>
    <xf numFmtId="183" fontId="6" fillId="0" borderId="0" xfId="0" applyNumberFormat="1" applyFont="1" applyAlignment="1">
      <alignment horizontal="center"/>
    </xf>
    <xf numFmtId="170" fontId="6" fillId="0" borderId="0" xfId="0" applyNumberFormat="1" applyFont="1" applyAlignment="1">
      <alignment horizontal="center"/>
    </xf>
    <xf numFmtId="44" fontId="5" fillId="0" borderId="11" xfId="0" applyNumberFormat="1" applyFont="1" applyBorder="1"/>
    <xf numFmtId="44" fontId="5" fillId="0" borderId="10" xfId="0" applyNumberFormat="1" applyFont="1" applyBorder="1"/>
    <xf numFmtId="44" fontId="0" fillId="0" borderId="10" xfId="0" applyNumberFormat="1" applyBorder="1"/>
    <xf numFmtId="9" fontId="5" fillId="0" borderId="0" xfId="2" applyFont="1" applyFill="1" applyBorder="1" applyAlignment="1"/>
    <xf numFmtId="43" fontId="5" fillId="0" borderId="13" xfId="0" applyNumberFormat="1" applyFont="1" applyBorder="1"/>
    <xf numFmtId="43" fontId="5" fillId="0" borderId="0" xfId="0" applyNumberFormat="1" applyFont="1"/>
    <xf numFmtId="43" fontId="0" fillId="0" borderId="0" xfId="0" applyNumberFormat="1"/>
    <xf numFmtId="43" fontId="0" fillId="0" borderId="13" xfId="0" applyNumberFormat="1" applyBorder="1"/>
    <xf numFmtId="183" fontId="8" fillId="18" borderId="3" xfId="0" applyNumberFormat="1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Continuous"/>
    </xf>
    <xf numFmtId="0" fontId="6" fillId="15" borderId="4" xfId="0" applyFont="1" applyFill="1" applyBorder="1" applyAlignment="1">
      <alignment horizontal="centerContinuous"/>
    </xf>
    <xf numFmtId="10" fontId="6" fillId="0" borderId="0" xfId="0" applyNumberFormat="1" applyFont="1" applyAlignment="1">
      <alignment horizontal="center"/>
    </xf>
    <xf numFmtId="184" fontId="8" fillId="18" borderId="0" xfId="0" applyNumberFormat="1" applyFont="1" applyFill="1" applyAlignment="1">
      <alignment horizontal="center"/>
    </xf>
    <xf numFmtId="44" fontId="8" fillId="0" borderId="10" xfId="0" applyNumberFormat="1" applyFont="1" applyBorder="1"/>
    <xf numFmtId="43" fontId="8" fillId="0" borderId="0" xfId="0" applyNumberFormat="1" applyFont="1"/>
    <xf numFmtId="43" fontId="8" fillId="0" borderId="13" xfId="0" applyNumberFormat="1" applyFont="1" applyBorder="1"/>
    <xf numFmtId="0" fontId="5" fillId="0" borderId="0" xfId="0" applyFont="1" applyAlignment="1">
      <alignment vertical="center" wrapText="1"/>
    </xf>
    <xf numFmtId="0" fontId="45" fillId="0" borderId="0" xfId="4" applyFont="1"/>
    <xf numFmtId="0" fontId="9" fillId="0" borderId="0" xfId="0" quotePrefix="1" applyFont="1"/>
    <xf numFmtId="185" fontId="9" fillId="0" borderId="0" xfId="0" applyNumberFormat="1" applyFont="1"/>
    <xf numFmtId="186" fontId="9" fillId="14" borderId="0" xfId="0" applyNumberFormat="1" applyFont="1" applyFill="1"/>
    <xf numFmtId="186" fontId="9" fillId="0" borderId="0" xfId="0" applyNumberFormat="1" applyFont="1"/>
    <xf numFmtId="44" fontId="45" fillId="0" borderId="0" xfId="4" applyNumberFormat="1" applyFont="1"/>
    <xf numFmtId="0" fontId="46" fillId="0" borderId="0" xfId="4" applyFont="1"/>
    <xf numFmtId="0" fontId="49" fillId="0" borderId="0" xfId="5" applyFont="1"/>
    <xf numFmtId="0" fontId="48" fillId="0" borderId="0" xfId="5"/>
    <xf numFmtId="0" fontId="50" fillId="0" borderId="0" xfId="5" applyFont="1"/>
    <xf numFmtId="0" fontId="51" fillId="19" borderId="22" xfId="5" applyFont="1" applyFill="1" applyBorder="1" applyAlignment="1">
      <alignment horizontal="left"/>
    </xf>
    <xf numFmtId="0" fontId="51" fillId="19" borderId="22" xfId="5" applyFont="1" applyFill="1" applyBorder="1" applyAlignment="1">
      <alignment horizontal="right"/>
    </xf>
    <xf numFmtId="0" fontId="52" fillId="20" borderId="23" xfId="5" applyFont="1" applyFill="1" applyBorder="1" applyAlignment="1">
      <alignment horizontal="left"/>
    </xf>
    <xf numFmtId="0" fontId="53" fillId="21" borderId="24" xfId="5" applyFont="1" applyFill="1" applyBorder="1" applyAlignment="1">
      <alignment horizontal="center" vertical="top"/>
    </xf>
    <xf numFmtId="0" fontId="54" fillId="22" borderId="24" xfId="5" applyFont="1" applyFill="1" applyBorder="1" applyAlignment="1">
      <alignment horizontal="center" vertical="top"/>
    </xf>
    <xf numFmtId="0" fontId="50" fillId="20" borderId="25" xfId="5" applyFont="1" applyFill="1" applyBorder="1" applyAlignment="1">
      <alignment horizontal="right"/>
    </xf>
    <xf numFmtId="38" fontId="50" fillId="20" borderId="26" xfId="5" applyNumberFormat="1" applyFont="1" applyFill="1" applyBorder="1" applyAlignment="1">
      <alignment horizontal="right"/>
    </xf>
    <xf numFmtId="0" fontId="50" fillId="23" borderId="0" xfId="5" applyFont="1" applyFill="1" applyAlignment="1">
      <alignment horizontal="left"/>
    </xf>
    <xf numFmtId="0" fontId="50" fillId="0" borderId="25" xfId="5" applyFont="1" applyBorder="1" applyAlignment="1">
      <alignment horizontal="left"/>
    </xf>
    <xf numFmtId="38" fontId="50" fillId="0" borderId="26" xfId="5" applyNumberFormat="1" applyFont="1" applyBorder="1" applyAlignment="1">
      <alignment horizontal="right" wrapText="1"/>
    </xf>
    <xf numFmtId="0" fontId="50" fillId="24" borderId="25" xfId="5" applyFont="1" applyFill="1" applyBorder="1" applyAlignment="1">
      <alignment horizontal="left"/>
    </xf>
    <xf numFmtId="38" fontId="50" fillId="24" borderId="26" xfId="5" applyNumberFormat="1" applyFont="1" applyFill="1" applyBorder="1" applyAlignment="1">
      <alignment horizontal="right" wrapText="1"/>
    </xf>
    <xf numFmtId="0" fontId="50" fillId="25" borderId="25" xfId="5" applyFont="1" applyFill="1" applyBorder="1" applyAlignment="1">
      <alignment horizontal="left" indent="2"/>
    </xf>
    <xf numFmtId="38" fontId="50" fillId="20" borderId="26" xfId="5" applyNumberFormat="1" applyFont="1" applyFill="1" applyBorder="1" applyAlignment="1">
      <alignment horizontal="right" wrapText="1"/>
    </xf>
    <xf numFmtId="0" fontId="55" fillId="17" borderId="25" xfId="5" applyFont="1" applyFill="1" applyBorder="1" applyAlignment="1">
      <alignment horizontal="left"/>
    </xf>
    <xf numFmtId="38" fontId="55" fillId="17" borderId="26" xfId="5" applyNumberFormat="1" applyFont="1" applyFill="1" applyBorder="1" applyAlignment="1">
      <alignment horizontal="right" wrapText="1"/>
    </xf>
    <xf numFmtId="0" fontId="56" fillId="17" borderId="0" xfId="5" applyFont="1" applyFill="1"/>
    <xf numFmtId="38" fontId="55" fillId="26" borderId="26" xfId="5" applyNumberFormat="1" applyFont="1" applyFill="1" applyBorder="1" applyAlignment="1">
      <alignment horizontal="right" wrapText="1"/>
    </xf>
    <xf numFmtId="0" fontId="50" fillId="26" borderId="25" xfId="5" applyFont="1" applyFill="1" applyBorder="1" applyAlignment="1">
      <alignment horizontal="left" indent="2"/>
    </xf>
    <xf numFmtId="0" fontId="50" fillId="0" borderId="26" xfId="5" applyFont="1" applyBorder="1" applyAlignment="1">
      <alignment horizontal="left" wrapText="1"/>
    </xf>
    <xf numFmtId="38" fontId="50" fillId="0" borderId="26" xfId="5" applyNumberFormat="1" applyFont="1" applyBorder="1" applyAlignment="1">
      <alignment horizontal="left" wrapText="1"/>
    </xf>
    <xf numFmtId="0" fontId="50" fillId="0" borderId="0" xfId="5" applyFont="1" applyAlignment="1">
      <alignment wrapText="1"/>
    </xf>
    <xf numFmtId="187" fontId="50" fillId="20" borderId="26" xfId="5" applyNumberFormat="1" applyFont="1" applyFill="1" applyBorder="1" applyAlignment="1">
      <alignment horizontal="right" wrapText="1"/>
    </xf>
    <xf numFmtId="40" fontId="50" fillId="0" borderId="26" xfId="5" applyNumberFormat="1" applyFont="1" applyBorder="1" applyAlignment="1">
      <alignment horizontal="right" wrapText="1"/>
    </xf>
    <xf numFmtId="0" fontId="48" fillId="23" borderId="0" xfId="5" applyFill="1" applyAlignment="1">
      <alignment horizontal="left" wrapText="1"/>
    </xf>
    <xf numFmtId="188" fontId="50" fillId="24" borderId="26" xfId="5" applyNumberFormat="1" applyFont="1" applyFill="1" applyBorder="1" applyAlignment="1">
      <alignment horizontal="right" wrapText="1"/>
    </xf>
    <xf numFmtId="0" fontId="50" fillId="25" borderId="25" xfId="5" applyFont="1" applyFill="1" applyBorder="1" applyAlignment="1">
      <alignment horizontal="left" wrapText="1" indent="2"/>
    </xf>
    <xf numFmtId="38" fontId="50" fillId="20" borderId="0" xfId="5" applyNumberFormat="1" applyFont="1" applyFill="1" applyAlignment="1">
      <alignment horizontal="right" wrapText="1"/>
    </xf>
    <xf numFmtId="0" fontId="50" fillId="23" borderId="0" xfId="5" applyFont="1" applyFill="1" applyAlignment="1">
      <alignment horizontal="left" wrapText="1"/>
    </xf>
    <xf numFmtId="0" fontId="50" fillId="25" borderId="26" xfId="5" applyFont="1" applyFill="1" applyBorder="1" applyAlignment="1">
      <alignment wrapText="1"/>
    </xf>
    <xf numFmtId="0" fontId="57" fillId="0" borderId="26" xfId="0" applyFont="1" applyBorder="1" applyAlignment="1">
      <alignment horizontal="right" wrapText="1"/>
    </xf>
    <xf numFmtId="10" fontId="0" fillId="0" borderId="0" xfId="2" applyNumberFormat="1" applyFont="1"/>
    <xf numFmtId="44" fontId="0" fillId="0" borderId="0" xfId="6" applyFont="1"/>
    <xf numFmtId="0" fontId="8" fillId="28" borderId="38" xfId="0" applyFont="1" applyFill="1" applyBorder="1" applyAlignment="1">
      <alignment horizontal="center"/>
    </xf>
    <xf numFmtId="44" fontId="0" fillId="28" borderId="3" xfId="6" applyFont="1" applyFill="1" applyBorder="1" applyAlignment="1">
      <alignment wrapText="1"/>
    </xf>
    <xf numFmtId="0" fontId="8" fillId="30" borderId="38" xfId="0" applyFont="1" applyFill="1" applyBorder="1" applyAlignment="1">
      <alignment horizontal="center"/>
    </xf>
    <xf numFmtId="44" fontId="0" fillId="30" borderId="3" xfId="6" applyFont="1" applyFill="1" applyBorder="1" applyAlignment="1">
      <alignment wrapText="1"/>
    </xf>
    <xf numFmtId="0" fontId="8" fillId="28" borderId="5" xfId="0" applyFont="1" applyFill="1" applyBorder="1" applyAlignment="1">
      <alignment horizontal="right"/>
    </xf>
    <xf numFmtId="0" fontId="0" fillId="28" borderId="4" xfId="0" applyFill="1" applyBorder="1"/>
    <xf numFmtId="0" fontId="8" fillId="29" borderId="8" xfId="0" applyFont="1" applyFill="1" applyBorder="1" applyAlignment="1">
      <alignment horizontal="right"/>
    </xf>
    <xf numFmtId="0" fontId="0" fillId="29" borderId="16" xfId="0" applyFill="1" applyBorder="1"/>
    <xf numFmtId="0" fontId="8" fillId="17" borderId="5" xfId="0" applyFont="1" applyFill="1" applyBorder="1" applyAlignment="1">
      <alignment horizontal="right"/>
    </xf>
    <xf numFmtId="0" fontId="0" fillId="17" borderId="4" xfId="0" applyFill="1" applyBorder="1"/>
    <xf numFmtId="0" fontId="8" fillId="30" borderId="5" xfId="0" applyFont="1" applyFill="1" applyBorder="1" applyAlignment="1">
      <alignment horizontal="right"/>
    </xf>
    <xf numFmtId="2" fontId="0" fillId="30" borderId="4" xfId="0" applyNumberFormat="1" applyFill="1" applyBorder="1"/>
    <xf numFmtId="10" fontId="0" fillId="0" borderId="2" xfId="2" applyNumberFormat="1" applyFont="1" applyBorder="1"/>
    <xf numFmtId="0" fontId="8" fillId="28" borderId="1" xfId="0" applyFont="1" applyFill="1" applyBorder="1" applyAlignment="1">
      <alignment horizontal="right"/>
    </xf>
    <xf numFmtId="0" fontId="8" fillId="17" borderId="1" xfId="0" applyFont="1" applyFill="1" applyBorder="1" applyAlignment="1">
      <alignment horizontal="right"/>
    </xf>
    <xf numFmtId="0" fontId="8" fillId="30" borderId="1" xfId="0" applyFont="1" applyFill="1" applyBorder="1" applyAlignment="1">
      <alignment horizontal="right"/>
    </xf>
    <xf numFmtId="0" fontId="8" fillId="29" borderId="15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38" fontId="4" fillId="0" borderId="26" xfId="5" applyNumberFormat="1" applyFont="1" applyBorder="1" applyAlignment="1">
      <alignment horizontal="right" wrapText="1"/>
    </xf>
    <xf numFmtId="190" fontId="4" fillId="0" borderId="0" xfId="0" applyNumberFormat="1" applyFont="1"/>
    <xf numFmtId="0" fontId="8" fillId="29" borderId="38" xfId="0" applyFont="1" applyFill="1" applyBorder="1" applyAlignment="1">
      <alignment horizontal="center"/>
    </xf>
    <xf numFmtId="44" fontId="23" fillId="29" borderId="3" xfId="6" applyFont="1" applyFill="1" applyBorder="1" applyAlignment="1">
      <alignment horizontal="right"/>
    </xf>
    <xf numFmtId="43" fontId="0" fillId="0" borderId="0" xfId="1" applyFont="1"/>
    <xf numFmtId="181" fontId="0" fillId="0" borderId="0" xfId="0" applyNumberFormat="1"/>
    <xf numFmtId="164" fontId="0" fillId="29" borderId="16" xfId="0" applyNumberFormat="1" applyFill="1" applyBorder="1"/>
    <xf numFmtId="164" fontId="0" fillId="30" borderId="4" xfId="0" applyNumberFormat="1" applyFill="1" applyBorder="1"/>
    <xf numFmtId="189" fontId="0" fillId="17" borderId="4" xfId="0" applyNumberFormat="1" applyFill="1" applyBorder="1"/>
    <xf numFmtId="164" fontId="0" fillId="28" borderId="4" xfId="0" applyNumberForma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44" fontId="23" fillId="0" borderId="38" xfId="6" applyFont="1" applyBorder="1" applyAlignment="1">
      <alignment horizontal="center"/>
    </xf>
    <xf numFmtId="44" fontId="23" fillId="0" borderId="6" xfId="6" applyFont="1" applyBorder="1" applyAlignment="1">
      <alignment horizontal="center"/>
    </xf>
    <xf numFmtId="44" fontId="23" fillId="0" borderId="3" xfId="6" applyFont="1" applyBorder="1" applyAlignment="1">
      <alignment horizontal="center"/>
    </xf>
    <xf numFmtId="7" fontId="0" fillId="28" borderId="3" xfId="6" applyNumberFormat="1" applyFont="1" applyFill="1" applyBorder="1" applyAlignment="1">
      <alignment wrapText="1"/>
    </xf>
    <xf numFmtId="7" fontId="0" fillId="30" borderId="3" xfId="6" applyNumberFormat="1" applyFont="1" applyFill="1" applyBorder="1" applyAlignment="1">
      <alignment wrapText="1"/>
    </xf>
    <xf numFmtId="7" fontId="0" fillId="29" borderId="3" xfId="6" applyNumberFormat="1" applyFont="1" applyFill="1" applyBorder="1" applyAlignment="1">
      <alignment wrapText="1"/>
    </xf>
    <xf numFmtId="7" fontId="0" fillId="0" borderId="2" xfId="6" applyNumberFormat="1" applyFont="1" applyBorder="1"/>
    <xf numFmtId="0" fontId="8" fillId="14" borderId="13" xfId="0" applyFont="1" applyFill="1" applyBorder="1" applyAlignment="1">
      <alignment horizontal="right"/>
    </xf>
    <xf numFmtId="0" fontId="8" fillId="14" borderId="0" xfId="0" applyFont="1" applyFill="1" applyAlignment="1">
      <alignment horizontal="right"/>
    </xf>
    <xf numFmtId="191" fontId="1" fillId="14" borderId="0" xfId="6" applyNumberFormat="1" applyFont="1" applyFill="1" applyBorder="1" applyAlignment="1">
      <alignment horizontal="left"/>
    </xf>
    <xf numFmtId="191" fontId="23" fillId="14" borderId="0" xfId="6" applyNumberFormat="1" applyFont="1" applyFill="1" applyBorder="1" applyAlignment="1">
      <alignment horizontal="left"/>
    </xf>
    <xf numFmtId="0" fontId="0" fillId="0" borderId="8" xfId="0" applyBorder="1"/>
    <xf numFmtId="0" fontId="0" fillId="0" borderId="13" xfId="0" applyBorder="1"/>
    <xf numFmtId="191" fontId="23" fillId="14" borderId="10" xfId="6" applyNumberFormat="1" applyFont="1" applyFill="1" applyBorder="1" applyAlignment="1">
      <alignment horizontal="left"/>
    </xf>
    <xf numFmtId="0" fontId="8" fillId="14" borderId="11" xfId="0" applyFont="1" applyFill="1" applyBorder="1" applyAlignment="1">
      <alignment horizontal="right"/>
    </xf>
    <xf numFmtId="0" fontId="0" fillId="0" borderId="6" xfId="0" applyBorder="1"/>
    <xf numFmtId="191" fontId="0" fillId="28" borderId="3" xfId="6" applyNumberFormat="1" applyFont="1" applyFill="1" applyBorder="1" applyAlignment="1">
      <alignment wrapText="1"/>
    </xf>
    <xf numFmtId="191" fontId="0" fillId="30" borderId="3" xfId="6" applyNumberFormat="1" applyFont="1" applyFill="1" applyBorder="1" applyAlignment="1">
      <alignment wrapText="1"/>
    </xf>
    <xf numFmtId="191" fontId="23" fillId="29" borderId="3" xfId="6" applyNumberFormat="1" applyFont="1" applyFill="1" applyBorder="1" applyAlignment="1">
      <alignment horizontal="right"/>
    </xf>
    <xf numFmtId="191" fontId="0" fillId="0" borderId="2" xfId="6" applyNumberFormat="1" applyFont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2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27" borderId="0" xfId="0" applyFont="1" applyFill="1" applyAlignment="1">
      <alignment horizontal="center"/>
    </xf>
    <xf numFmtId="0" fontId="6" fillId="31" borderId="0" xfId="0" applyFont="1" applyFill="1" applyAlignment="1">
      <alignment horizontal="center" vertical="center"/>
    </xf>
    <xf numFmtId="0" fontId="6" fillId="27" borderId="14" xfId="0" applyFont="1" applyFill="1" applyBorder="1" applyAlignment="1">
      <alignment horizontal="center"/>
    </xf>
    <xf numFmtId="0" fontId="6" fillId="27" borderId="13" xfId="0" applyFont="1" applyFill="1" applyBorder="1" applyAlignment="1">
      <alignment horizontal="center"/>
    </xf>
    <xf numFmtId="0" fontId="6" fillId="31" borderId="11" xfId="0" applyFont="1" applyFill="1" applyBorder="1" applyAlignment="1">
      <alignment horizontal="center" vertical="center" wrapText="1"/>
    </xf>
    <xf numFmtId="0" fontId="6" fillId="31" borderId="10" xfId="0" applyFont="1" applyFill="1" applyBorder="1" applyAlignment="1">
      <alignment horizontal="center" vertical="center" wrapText="1"/>
    </xf>
    <xf numFmtId="0" fontId="6" fillId="31" borderId="12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0" borderId="0" xfId="0" applyFont="1" applyAlignment="1">
      <alignment horizontal="center"/>
    </xf>
    <xf numFmtId="0" fontId="6" fillId="31" borderId="1" xfId="0" applyFont="1" applyFill="1" applyBorder="1" applyAlignment="1">
      <alignment horizontal="center" vertical="center"/>
    </xf>
    <xf numFmtId="0" fontId="6" fillId="31" borderId="5" xfId="0" applyFont="1" applyFill="1" applyBorder="1" applyAlignment="1">
      <alignment horizontal="center" vertical="center"/>
    </xf>
    <xf numFmtId="0" fontId="6" fillId="31" borderId="4" xfId="0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 wrapText="1"/>
    </xf>
    <xf numFmtId="0" fontId="6" fillId="31" borderId="5" xfId="0" applyFont="1" applyFill="1" applyBorder="1" applyAlignment="1">
      <alignment horizontal="center" vertical="center" wrapText="1"/>
    </xf>
    <xf numFmtId="0" fontId="6" fillId="31" borderId="4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/>
    </xf>
    <xf numFmtId="0" fontId="6" fillId="27" borderId="5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50" fillId="23" borderId="33" xfId="5" applyFont="1" applyFill="1" applyBorder="1" applyAlignment="1">
      <alignment horizontal="left" wrapText="1"/>
    </xf>
    <xf numFmtId="0" fontId="50" fillId="24" borderId="31" xfId="5" applyFont="1" applyFill="1" applyBorder="1" applyAlignment="1">
      <alignment horizontal="left" wrapText="1"/>
    </xf>
    <xf numFmtId="0" fontId="50" fillId="24" borderId="32" xfId="5" applyFont="1" applyFill="1" applyBorder="1" applyAlignment="1">
      <alignment horizontal="left" wrapText="1"/>
    </xf>
    <xf numFmtId="38" fontId="50" fillId="20" borderId="26" xfId="5" applyNumberFormat="1" applyFont="1" applyFill="1" applyBorder="1" applyAlignment="1">
      <alignment horizontal="right" wrapText="1"/>
    </xf>
    <xf numFmtId="38" fontId="50" fillId="20" borderId="0" xfId="5" applyNumberFormat="1" applyFont="1" applyFill="1" applyAlignment="1">
      <alignment horizontal="right" wrapText="1"/>
    </xf>
    <xf numFmtId="0" fontId="50" fillId="25" borderId="26" xfId="5" applyFont="1" applyFill="1" applyBorder="1" applyAlignment="1">
      <alignment horizontal="left" wrapText="1" indent="2"/>
    </xf>
    <xf numFmtId="0" fontId="50" fillId="25" borderId="25" xfId="5" applyFont="1" applyFill="1" applyBorder="1" applyAlignment="1">
      <alignment horizontal="left" wrapText="1" indent="2"/>
    </xf>
    <xf numFmtId="0" fontId="50" fillId="25" borderId="0" xfId="5" applyFont="1" applyFill="1" applyAlignment="1">
      <alignment horizontal="left" wrapText="1" indent="2"/>
    </xf>
    <xf numFmtId="0" fontId="50" fillId="25" borderId="34" xfId="5" applyFont="1" applyFill="1" applyBorder="1" applyAlignment="1">
      <alignment horizontal="left" wrapText="1" indent="2"/>
    </xf>
    <xf numFmtId="38" fontId="50" fillId="20" borderId="35" xfId="5" applyNumberFormat="1" applyFont="1" applyFill="1" applyBorder="1" applyAlignment="1">
      <alignment horizontal="right" wrapText="1"/>
    </xf>
    <xf numFmtId="38" fontId="50" fillId="20" borderId="37" xfId="5" applyNumberFormat="1" applyFont="1" applyFill="1" applyBorder="1" applyAlignment="1">
      <alignment horizontal="right" wrapText="1"/>
    </xf>
    <xf numFmtId="38" fontId="50" fillId="20" borderId="33" xfId="5" applyNumberFormat="1" applyFont="1" applyFill="1" applyBorder="1" applyAlignment="1">
      <alignment horizontal="right" wrapText="1"/>
    </xf>
    <xf numFmtId="0" fontId="50" fillId="0" borderId="31" xfId="5" applyFont="1" applyBorder="1" applyAlignment="1">
      <alignment horizontal="left"/>
    </xf>
    <xf numFmtId="0" fontId="50" fillId="0" borderId="32" xfId="5" applyFont="1" applyBorder="1" applyAlignment="1">
      <alignment horizontal="left"/>
    </xf>
    <xf numFmtId="0" fontId="50" fillId="0" borderId="26" xfId="5" applyFont="1" applyBorder="1" applyAlignment="1">
      <alignment horizontal="left"/>
    </xf>
    <xf numFmtId="0" fontId="50" fillId="0" borderId="25" xfId="5" applyFont="1" applyBorder="1" applyAlignment="1">
      <alignment horizontal="left"/>
    </xf>
    <xf numFmtId="0" fontId="50" fillId="25" borderId="33" xfId="5" applyFont="1" applyFill="1" applyBorder="1" applyAlignment="1">
      <alignment horizontal="left" wrapText="1" indent="2"/>
    </xf>
    <xf numFmtId="0" fontId="50" fillId="25" borderId="36" xfId="5" applyFont="1" applyFill="1" applyBorder="1" applyAlignment="1">
      <alignment horizontal="left" wrapText="1" indent="2"/>
    </xf>
    <xf numFmtId="0" fontId="50" fillId="25" borderId="31" xfId="5" applyFont="1" applyFill="1" applyBorder="1" applyAlignment="1">
      <alignment horizontal="left" indent="2"/>
    </xf>
    <xf numFmtId="0" fontId="50" fillId="25" borderId="32" xfId="5" applyFont="1" applyFill="1" applyBorder="1" applyAlignment="1">
      <alignment horizontal="left" indent="2"/>
    </xf>
    <xf numFmtId="0" fontId="50" fillId="24" borderId="31" xfId="5" applyFont="1" applyFill="1" applyBorder="1" applyAlignment="1">
      <alignment horizontal="left"/>
    </xf>
    <xf numFmtId="0" fontId="50" fillId="24" borderId="32" xfId="5" applyFont="1" applyFill="1" applyBorder="1" applyAlignment="1">
      <alignment horizontal="left"/>
    </xf>
    <xf numFmtId="0" fontId="50" fillId="23" borderId="33" xfId="5" applyFont="1" applyFill="1" applyBorder="1" applyAlignment="1">
      <alignment horizontal="left"/>
    </xf>
    <xf numFmtId="0" fontId="50" fillId="0" borderId="31" xfId="5" applyFont="1" applyBorder="1" applyAlignment="1">
      <alignment horizontal="left" wrapText="1"/>
    </xf>
    <xf numFmtId="0" fontId="50" fillId="20" borderId="31" xfId="5" applyFont="1" applyFill="1" applyBorder="1" applyAlignment="1">
      <alignment horizontal="right"/>
    </xf>
    <xf numFmtId="0" fontId="50" fillId="20" borderId="32" xfId="5" applyFont="1" applyFill="1" applyBorder="1" applyAlignment="1">
      <alignment horizontal="right"/>
    </xf>
    <xf numFmtId="0" fontId="51" fillId="19" borderId="27" xfId="5" applyFont="1" applyFill="1" applyBorder="1" applyAlignment="1">
      <alignment horizontal="left"/>
    </xf>
    <xf numFmtId="0" fontId="51" fillId="19" borderId="28" xfId="5" applyFont="1" applyFill="1" applyBorder="1" applyAlignment="1">
      <alignment horizontal="left"/>
    </xf>
    <xf numFmtId="0" fontId="52" fillId="20" borderId="24" xfId="5" applyFont="1" applyFill="1" applyBorder="1" applyAlignment="1">
      <alignment horizontal="left"/>
    </xf>
    <xf numFmtId="0" fontId="52" fillId="20" borderId="23" xfId="5" applyFont="1" applyFill="1" applyBorder="1" applyAlignment="1">
      <alignment horizontal="left"/>
    </xf>
    <xf numFmtId="0" fontId="50" fillId="20" borderId="29" xfId="5" applyFont="1" applyFill="1" applyBorder="1" applyAlignment="1">
      <alignment horizontal="right"/>
    </xf>
    <xf numFmtId="0" fontId="50" fillId="20" borderId="30" xfId="5" applyFont="1" applyFill="1" applyBorder="1" applyAlignment="1">
      <alignment horizontal="right"/>
    </xf>
    <xf numFmtId="164" fontId="2" fillId="2" borderId="2" xfId="0" applyNumberFormat="1" applyFont="1" applyFill="1" applyBorder="1" applyAlignment="1"/>
    <xf numFmtId="164" fontId="3" fillId="3" borderId="2" xfId="0" applyNumberFormat="1" applyFont="1" applyFill="1" applyBorder="1" applyAlignment="1"/>
  </cellXfs>
  <cellStyles count="7">
    <cellStyle name="Comma" xfId="1" builtinId="3"/>
    <cellStyle name="Currency" xfId="6" builtinId="4"/>
    <cellStyle name="Normal" xfId="0" builtinId="0"/>
    <cellStyle name="Normal 2" xfId="4" xr:uid="{71D31030-BDC5-4F67-AC8A-ED7A1BCFC6C8}"/>
    <cellStyle name="Normal 3" xfId="5" xr:uid="{B79494E9-9976-44B0-8661-45866A986772}"/>
    <cellStyle name="Note" xfId="3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Unlevered FCF vs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'Ford-DCF'!$C$58</c:f>
              <c:strCache>
                <c:ptCount val="1"/>
                <c:pt idx="0">
                  <c:v>Unlevered Free Cash Flow: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2018</c:v>
              </c:pt>
              <c:pt idx="1">
                <c:v>2019</c:v>
              </c:pt>
              <c:pt idx="2">
                <c:v>2020</c:v>
              </c:pt>
              <c:pt idx="3">
                <c:v>2021</c:v>
              </c:pt>
              <c:pt idx="4">
                <c:v>2022</c:v>
              </c:pt>
              <c:pt idx="5">
                <c:v>2023</c:v>
              </c:pt>
              <c:pt idx="6">
                <c:v>2024</c:v>
              </c:pt>
              <c:pt idx="7">
                <c:v>2025</c:v>
              </c:pt>
            </c:numLit>
          </c:cat>
          <c:val>
            <c:numRef>
              <c:f>'Ford-DCF'!$H$58:$O$58</c:f>
              <c:numCache>
                <c:formatCode>_("$"* #,##0.0_);_("$"* \(#,##0.0\);_("$"* "-"?_);_(@_)</c:formatCode>
                <c:ptCount val="8"/>
                <c:pt idx="0">
                  <c:v>17981.36565</c:v>
                </c:pt>
                <c:pt idx="1">
                  <c:v>7243.7601500000001</c:v>
                </c:pt>
                <c:pt idx="2">
                  <c:v>-2842.5417500000003</c:v>
                </c:pt>
                <c:pt idx="3">
                  <c:v>9594.2601496942189</c:v>
                </c:pt>
                <c:pt idx="4">
                  <c:v>12308.497480125501</c:v>
                </c:pt>
                <c:pt idx="5">
                  <c:v>11505.762327453001</c:v>
                </c:pt>
                <c:pt idx="6">
                  <c:v>12789.482043570368</c:v>
                </c:pt>
                <c:pt idx="7">
                  <c:v>12207.617328603268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4-488D-9C55-E34ADF57D822}"/>
            </c:ext>
          </c:extLst>
        </c:ser>
        <c:ser>
          <c:idx val="1"/>
          <c:order val="1"/>
          <c:tx>
            <c:strRef>
              <c:f>'Ford-DCF'!$C$61</c:f>
              <c:strCache>
                <c:ptCount val="1"/>
                <c:pt idx="0">
                  <c:v>EBITDA: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8"/>
              <c:pt idx="0">
                <c:v>2018</c:v>
              </c:pt>
              <c:pt idx="1">
                <c:v>2019</c:v>
              </c:pt>
              <c:pt idx="2">
                <c:v>2020</c:v>
              </c:pt>
              <c:pt idx="3">
                <c:v>2021</c:v>
              </c:pt>
              <c:pt idx="4">
                <c:v>2022</c:v>
              </c:pt>
              <c:pt idx="5">
                <c:v>2023</c:v>
              </c:pt>
              <c:pt idx="6">
                <c:v>2024</c:v>
              </c:pt>
              <c:pt idx="7">
                <c:v>2025</c:v>
              </c:pt>
            </c:numLit>
          </c:cat>
          <c:val>
            <c:numRef>
              <c:f>'Ford-DCF'!$H$61:$O$61</c:f>
              <c:numCache>
                <c:formatCode>_("$"* #,##0.0_);_("$"* \(#,##0.0\);_("$"* "-"?_);_(@_)</c:formatCode>
                <c:ptCount val="8"/>
                <c:pt idx="0">
                  <c:v>4342</c:v>
                </c:pt>
                <c:pt idx="1">
                  <c:v>10139</c:v>
                </c:pt>
                <c:pt idx="2">
                  <c:v>13797</c:v>
                </c:pt>
                <c:pt idx="3">
                  <c:v>18857.120049644705</c:v>
                </c:pt>
                <c:pt idx="4">
                  <c:v>22589.708324341718</c:v>
                </c:pt>
                <c:pt idx="5">
                  <c:v>22546.388890218932</c:v>
                </c:pt>
                <c:pt idx="6">
                  <c:v>23791.244480502959</c:v>
                </c:pt>
                <c:pt idx="7">
                  <c:v>24065.972582611746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4-488D-9C55-E34ADF57D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481064"/>
        <c:axId val="1600480408"/>
      </c:barChart>
      <c:catAx>
        <c:axId val="16004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80408"/>
        <c:crosses val="autoZero"/>
        <c:auto val="1"/>
        <c:lblAlgn val="ctr"/>
        <c:lblOffset val="100"/>
        <c:noMultiLvlLbl val="0"/>
      </c:catAx>
      <c:valAx>
        <c:axId val="1600480408"/>
        <c:scaling>
          <c:orientation val="minMax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810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DCF Valuation Summary</a:t>
            </a:r>
          </a:p>
        </c:rich>
      </c:tx>
      <c:layout>
        <c:manualLayout>
          <c:xMode val="edge"/>
          <c:yMode val="edge"/>
          <c:x val="0.38816708281239837"/>
          <c:y val="8.59060523745075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9080341875936604E-2"/>
          <c:y val="0.14964949267831945"/>
          <c:w val="0.88568652374424262"/>
          <c:h val="0.7058326489221439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'Ford-DCF'!$C$117:$C$119</c:f>
              <c:strCache>
                <c:ptCount val="3"/>
                <c:pt idx="0">
                  <c:v>DCF Value at 4.0x-8.0x Exit EBITDA Range</c:v>
                </c:pt>
                <c:pt idx="1">
                  <c:v>DCF Value at 0.0%-4.0% Perpetuity Range</c:v>
                </c:pt>
                <c:pt idx="2">
                  <c:v>52 Week Market High/Low</c:v>
                </c:pt>
              </c:strCache>
            </c:strRef>
          </c:cat>
          <c:val>
            <c:numRef>
              <c:f>'Ford-DCF'!$F$117:$F$119</c:f>
              <c:numCache>
                <c:formatCode>#,##0.0_);\(#,##0.0\);@_)</c:formatCode>
                <c:ptCount val="3"/>
                <c:pt idx="0">
                  <c:v>4.1885284838329779</c:v>
                </c:pt>
                <c:pt idx="1">
                  <c:v>11.558329684847171</c:v>
                </c:pt>
                <c:pt idx="2" formatCode="General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5-409D-9657-DEB2BDB29C6D}"/>
            </c:ext>
          </c:extLst>
        </c:ser>
        <c:ser>
          <c:idx val="1"/>
          <c:order val="1"/>
          <c:invertIfNegative val="0"/>
          <c:dPt>
            <c:idx val="2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2-0C15-409D-9657-DEB2BDB29C6D}"/>
              </c:ext>
            </c:extLst>
          </c:dPt>
          <c:cat>
            <c:strRef>
              <c:f>'Ford-DCF'!$C$117:$C$119</c:f>
              <c:strCache>
                <c:ptCount val="3"/>
                <c:pt idx="0">
                  <c:v>DCF Value at 4.0x-8.0x Exit EBITDA Range</c:v>
                </c:pt>
                <c:pt idx="1">
                  <c:v>DCF Value at 0.0%-4.0% Perpetuity Range</c:v>
                </c:pt>
                <c:pt idx="2">
                  <c:v>52 Week Market High/Low</c:v>
                </c:pt>
              </c:strCache>
            </c:strRef>
          </c:cat>
          <c:val>
            <c:numRef>
              <c:f>'Ford-DCF'!$G$117:$G$119</c:f>
              <c:numCache>
                <c:formatCode>#,##0.00_);\(#,##0.00\);@_)</c:formatCode>
                <c:ptCount val="3"/>
                <c:pt idx="0">
                  <c:v>16.344095137480728</c:v>
                </c:pt>
                <c:pt idx="1">
                  <c:v>23.01229110893361</c:v>
                </c:pt>
                <c:pt idx="2">
                  <c:v>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15-409D-9657-DEB2BDB29C6D}"/>
            </c:ext>
          </c:extLst>
        </c:ser>
        <c:ser>
          <c:idx val="2"/>
          <c:order val="2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'Ford-DCF'!$C$117:$C$119</c:f>
              <c:strCache>
                <c:ptCount val="3"/>
                <c:pt idx="0">
                  <c:v>DCF Value at 4.0x-8.0x Exit EBITDA Range</c:v>
                </c:pt>
                <c:pt idx="1">
                  <c:v>DCF Value at 0.0%-4.0% Perpetuity Range</c:v>
                </c:pt>
                <c:pt idx="2">
                  <c:v>52 Week Market High/Low</c:v>
                </c:pt>
              </c:strCache>
            </c:strRef>
          </c:cat>
          <c:val>
            <c:numRef>
              <c:f>'Ford-DCF'!$H$117:$H$119</c:f>
              <c:numCache>
                <c:formatCode>#,##0.0_);\(#,##0.0\);@_)</c:formatCode>
                <c:ptCount val="3"/>
                <c:pt idx="0" formatCode="#,##0.00_);\(#,##0.00\);@_)">
                  <c:v>20.532623621313707</c:v>
                </c:pt>
                <c:pt idx="1">
                  <c:v>34.570620793780783</c:v>
                </c:pt>
                <c:pt idx="2" formatCode="General">
                  <c:v>15.35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15-409D-9657-DEB2BDB29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7289344"/>
        <c:axId val="97358976"/>
      </c:barChart>
      <c:catAx>
        <c:axId val="97289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0" vert="horz" anchor="ctr" anchorCtr="1"/>
          <a:lstStyle/>
          <a:p>
            <a:pPr>
              <a:defRPr/>
            </a:pPr>
            <a:endParaRPr lang="en-US"/>
          </a:p>
        </c:txPr>
        <c:crossAx val="97358976"/>
        <c:crossesAt val="0"/>
        <c:auto val="1"/>
        <c:lblAlgn val="ctr"/>
        <c:lblOffset val="100"/>
        <c:noMultiLvlLbl val="0"/>
      </c:catAx>
      <c:valAx>
        <c:axId val="97358976"/>
        <c:scaling>
          <c:orientation val="minMax"/>
          <c:max val="40"/>
          <c:min val="0"/>
        </c:scaling>
        <c:delete val="0"/>
        <c:axPos val="l"/>
        <c:numFmt formatCode="#,##0.0_);\(#,##0.0\);@_)" sourceLinked="1"/>
        <c:majorTickMark val="out"/>
        <c:minorTickMark val="none"/>
        <c:tickLblPos val="nextTo"/>
        <c:crossAx val="97289344"/>
        <c:crosses val="autoZero"/>
        <c:crossBetween val="between"/>
        <c:majorUnit val="5"/>
        <c:minorUnit val="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286726</xdr:colOff>
      <xdr:row>28</xdr:row>
      <xdr:rowOff>86481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AFEBB-0244-4CD6-8813-BE45B6BEC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2326" cy="5420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1094052</xdr:colOff>
      <xdr:row>93</xdr:row>
      <xdr:rowOff>42332</xdr:rowOff>
    </xdr:from>
    <xdr:to>
      <xdr:col>15</xdr:col>
      <xdr:colOff>959556</xdr:colOff>
      <xdr:row>122</xdr:row>
      <xdr:rowOff>155222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6B282-237E-4B86-BB72-A15FCD82B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98780</xdr:colOff>
      <xdr:row>93</xdr:row>
      <xdr:rowOff>168009</xdr:rowOff>
    </xdr:from>
    <xdr:to>
      <xdr:col>8</xdr:col>
      <xdr:colOff>420249</xdr:colOff>
      <xdr:row>120</xdr:row>
      <xdr:rowOff>164199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BD8083-AF66-41DC-B8D0-6CAB41613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109</xdr:row>
      <xdr:rowOff>121267</xdr:rowOff>
    </xdr:from>
    <xdr:to>
      <xdr:col>2</xdr:col>
      <xdr:colOff>139066</xdr:colOff>
      <xdr:row>110</xdr:row>
      <xdr:rowOff>121266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0E5967D-1FED-43B6-BB68-880866B09438}"/>
            </a:ext>
          </a:extLst>
        </xdr:cNvPr>
        <xdr:cNvSpPr/>
      </xdr:nvSpPr>
      <xdr:spPr>
        <a:xfrm>
          <a:off x="1" y="20447617"/>
          <a:ext cx="501015" cy="1619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259448</xdr:colOff>
      <xdr:row>110</xdr:row>
      <xdr:rowOff>29986</xdr:rowOff>
    </xdr:from>
    <xdr:to>
      <xdr:col>7</xdr:col>
      <xdr:colOff>960966</xdr:colOff>
      <xdr:row>110</xdr:row>
      <xdr:rowOff>66447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21490D7-85B9-43C1-BBB8-01017F451769}"/>
            </a:ext>
          </a:extLst>
        </xdr:cNvPr>
        <xdr:cNvCxnSpPr/>
      </xdr:nvCxnSpPr>
      <xdr:spPr>
        <a:xfrm flipV="1">
          <a:off x="621398" y="20518261"/>
          <a:ext cx="5092543" cy="3646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a4865a_american_edu/Documents/Financial%20Modeling/Ford%20Project/Monday%20files/Ford-D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CC"/>
      <sheetName val="Ford-DCF"/>
      <sheetName val="Ford Motor Co | Cash Flow "/>
      <sheetName val="Ford Motor Co | Balance Sheet "/>
      <sheetName val="Ford Motor Co | Income Statemen"/>
      <sheetName val="F_Analyst Recommendations"/>
      <sheetName val="Estimate Information"/>
      <sheetName val="Refinitive Stock Report"/>
      <sheetName val="Ford Motor Co | Ratios - Key Me"/>
      <sheetName val="key metr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2">
          <cell r="G12">
            <v>0.17799999999999999</v>
          </cell>
        </row>
      </sheetData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workbookViewId="0">
      <selection activeCell="C14" sqref="C14"/>
    </sheetView>
  </sheetViews>
  <sheetFormatPr defaultRowHeight="15" outlineLevelRow="1"/>
  <cols>
    <col min="1" max="1" width="2.5703125" bestFit="1" customWidth="1"/>
    <col min="2" max="2" width="50" bestFit="1" customWidth="1"/>
    <col min="3" max="3" width="31.42578125" bestFit="1" customWidth="1"/>
    <col min="4" max="301" width="20.7109375" bestFit="1" customWidth="1"/>
  </cols>
  <sheetData>
    <row r="1" spans="1:300">
      <c r="B1" t="s">
        <v>0</v>
      </c>
    </row>
    <row r="2" spans="1:300">
      <c r="A2" s="1" t="s">
        <v>1</v>
      </c>
      <c r="B2" s="2" t="s">
        <v>2</v>
      </c>
      <c r="C2" s="340" t="s">
        <v>3</v>
      </c>
    </row>
    <row r="3" spans="1:300">
      <c r="A3" s="1" t="s">
        <v>1</v>
      </c>
      <c r="B3" s="2" t="s">
        <v>4</v>
      </c>
      <c r="C3" s="1" t="s">
        <v>5</v>
      </c>
    </row>
    <row r="4" spans="1:300">
      <c r="A4" s="339" t="s">
        <v>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339"/>
      <c r="AY4" s="339"/>
      <c r="AZ4" s="339"/>
      <c r="BA4" s="339"/>
      <c r="BB4" s="339"/>
      <c r="BC4" s="339"/>
      <c r="BD4" s="339"/>
      <c r="BE4" s="339"/>
      <c r="BF4" s="339"/>
      <c r="BG4" s="339"/>
      <c r="BH4" s="339"/>
      <c r="BI4" s="339"/>
      <c r="BJ4" s="339"/>
      <c r="BK4" s="339"/>
      <c r="BL4" s="339"/>
      <c r="BM4" s="339"/>
      <c r="BN4" s="339"/>
      <c r="BO4" s="339"/>
      <c r="BP4" s="339"/>
      <c r="BQ4" s="339"/>
      <c r="BR4" s="339"/>
      <c r="BS4" s="339"/>
      <c r="BT4" s="339"/>
      <c r="BU4" s="339"/>
      <c r="BV4" s="339"/>
      <c r="BW4" s="339"/>
      <c r="BX4" s="339"/>
      <c r="BY4" s="339"/>
      <c r="BZ4" s="339"/>
      <c r="CA4" s="339"/>
      <c r="CB4" s="339"/>
      <c r="CC4" s="339"/>
      <c r="CD4" s="339"/>
      <c r="CE4" s="339"/>
      <c r="CF4" s="339"/>
      <c r="CG4" s="339"/>
      <c r="CH4" s="339"/>
      <c r="CI4" s="339"/>
      <c r="CJ4" s="339"/>
      <c r="CK4" s="339"/>
      <c r="CL4" s="339"/>
      <c r="CM4" s="339"/>
      <c r="CN4" s="339"/>
      <c r="CO4" s="339"/>
      <c r="CP4" s="339"/>
      <c r="CQ4" s="339"/>
      <c r="CR4" s="339"/>
      <c r="CS4" s="339"/>
      <c r="CT4" s="339"/>
      <c r="CU4" s="339"/>
      <c r="CV4" s="339"/>
      <c r="CW4" s="339"/>
      <c r="CX4" s="339"/>
      <c r="CY4" s="339"/>
      <c r="CZ4" s="339"/>
      <c r="DA4" s="339"/>
      <c r="DB4" s="339"/>
      <c r="DC4" s="339"/>
      <c r="DD4" s="339"/>
      <c r="DE4" s="339"/>
      <c r="DF4" s="339"/>
      <c r="DG4" s="339"/>
      <c r="DH4" s="339"/>
      <c r="DI4" s="339"/>
      <c r="DJ4" s="339"/>
      <c r="DK4" s="339"/>
      <c r="DL4" s="339"/>
      <c r="DM4" s="339"/>
      <c r="DN4" s="339"/>
      <c r="DO4" s="339"/>
      <c r="DP4" s="339"/>
      <c r="DQ4" s="339"/>
      <c r="DR4" s="339"/>
      <c r="DS4" s="339"/>
      <c r="DT4" s="339"/>
      <c r="DU4" s="339"/>
      <c r="DV4" s="339"/>
      <c r="DW4" s="339"/>
      <c r="DX4" s="339"/>
      <c r="DY4" s="339"/>
      <c r="DZ4" s="339"/>
      <c r="EA4" s="339"/>
      <c r="EB4" s="339"/>
      <c r="EC4" s="339"/>
      <c r="ED4" s="339"/>
      <c r="EE4" s="339"/>
      <c r="EF4" s="339"/>
      <c r="EG4" s="339"/>
      <c r="EH4" s="339"/>
      <c r="EI4" s="339"/>
      <c r="EJ4" s="339"/>
      <c r="EK4" s="339"/>
      <c r="EL4" s="339"/>
      <c r="EM4" s="339"/>
      <c r="EN4" s="339"/>
      <c r="EO4" s="339"/>
      <c r="EP4" s="339"/>
      <c r="EQ4" s="339"/>
      <c r="ER4" s="339"/>
      <c r="ES4" s="339"/>
      <c r="ET4" s="339"/>
      <c r="EU4" s="339"/>
      <c r="EV4" s="339"/>
      <c r="EW4" s="339"/>
      <c r="EX4" s="339"/>
      <c r="EY4" s="339"/>
      <c r="EZ4" s="339"/>
      <c r="FA4" s="339"/>
      <c r="FB4" s="339"/>
      <c r="FC4" s="339"/>
      <c r="FD4" s="339"/>
      <c r="FE4" s="339"/>
      <c r="FF4" s="339"/>
      <c r="FG4" s="339"/>
      <c r="FH4" s="339"/>
      <c r="FI4" s="339"/>
      <c r="FJ4" s="339"/>
      <c r="FK4" s="339"/>
      <c r="FL4" s="339"/>
      <c r="FM4" s="339"/>
      <c r="FN4" s="339"/>
      <c r="FO4" s="339"/>
      <c r="FP4" s="339"/>
      <c r="FQ4" s="339"/>
      <c r="FR4" s="339"/>
      <c r="FS4" s="339"/>
      <c r="FT4" s="339"/>
      <c r="FU4" s="339"/>
      <c r="FV4" s="339"/>
      <c r="FW4" s="339"/>
      <c r="FX4" s="339"/>
      <c r="FY4" s="339"/>
      <c r="FZ4" s="339"/>
      <c r="GA4" s="339"/>
      <c r="GB4" s="339"/>
      <c r="GC4" s="339"/>
      <c r="GD4" s="339"/>
      <c r="GE4" s="339"/>
      <c r="GF4" s="339"/>
      <c r="GG4" s="339"/>
      <c r="GH4" s="339"/>
      <c r="GI4" s="339"/>
      <c r="GJ4" s="339"/>
      <c r="GK4" s="339"/>
      <c r="GL4" s="339"/>
      <c r="GM4" s="339"/>
      <c r="GN4" s="339"/>
      <c r="GO4" s="339"/>
      <c r="GP4" s="339"/>
      <c r="GQ4" s="339"/>
      <c r="GR4" s="339"/>
      <c r="GS4" s="339"/>
      <c r="GT4" s="339"/>
      <c r="GU4" s="339"/>
      <c r="GV4" s="339"/>
      <c r="GW4" s="339"/>
      <c r="GX4" s="339"/>
      <c r="GY4" s="339"/>
      <c r="GZ4" s="339"/>
      <c r="HA4" s="339"/>
      <c r="HB4" s="339"/>
      <c r="HC4" s="339"/>
      <c r="HD4" s="339"/>
      <c r="HE4" s="339"/>
      <c r="HF4" s="339"/>
      <c r="HG4" s="339"/>
      <c r="HH4" s="339"/>
      <c r="HI4" s="339"/>
      <c r="HJ4" s="339"/>
      <c r="HK4" s="339"/>
      <c r="HL4" s="339"/>
      <c r="HM4" s="339"/>
      <c r="HN4" s="339"/>
      <c r="HO4" s="339"/>
      <c r="HP4" s="339"/>
      <c r="HQ4" s="339"/>
      <c r="HR4" s="339"/>
      <c r="HS4" s="339"/>
      <c r="HT4" s="339"/>
      <c r="HU4" s="339"/>
      <c r="HV4" s="339"/>
      <c r="HW4" s="339"/>
      <c r="HX4" s="339"/>
      <c r="HY4" s="339"/>
      <c r="HZ4" s="339"/>
      <c r="IA4" s="339"/>
      <c r="IB4" s="339"/>
      <c r="IC4" s="339"/>
      <c r="ID4" s="339"/>
      <c r="IE4" s="339"/>
      <c r="IF4" s="339"/>
      <c r="IG4" s="339"/>
      <c r="IH4" s="339"/>
      <c r="II4" s="339"/>
      <c r="IJ4" s="339"/>
      <c r="IK4" s="339"/>
      <c r="IL4" s="339"/>
      <c r="IM4" s="339"/>
      <c r="IN4" s="339"/>
      <c r="IO4" s="339"/>
      <c r="IP4" s="339"/>
      <c r="IQ4" s="339"/>
      <c r="IR4" s="339"/>
      <c r="IS4" s="339"/>
      <c r="IT4" s="339"/>
      <c r="IU4" s="339"/>
      <c r="IV4" s="339"/>
      <c r="IW4" s="339"/>
      <c r="IX4" s="339"/>
      <c r="IY4" s="339"/>
      <c r="IZ4" s="339"/>
      <c r="JA4" s="339"/>
      <c r="JB4" s="339"/>
      <c r="JC4" s="339"/>
      <c r="JD4" s="339"/>
      <c r="JE4" s="339"/>
      <c r="JF4" s="339"/>
      <c r="JG4" s="339"/>
      <c r="JH4" s="339"/>
      <c r="JI4" s="339"/>
      <c r="JJ4" s="339"/>
      <c r="JK4" s="339"/>
      <c r="JL4" s="339"/>
      <c r="JM4" s="339"/>
      <c r="JN4" s="339"/>
      <c r="JO4" s="339"/>
      <c r="JP4" s="339"/>
      <c r="JQ4" s="339"/>
      <c r="JR4" s="339"/>
      <c r="JS4" s="339"/>
      <c r="JT4" s="339"/>
      <c r="JU4" s="339"/>
      <c r="JV4" s="339"/>
      <c r="JW4" s="339"/>
      <c r="JX4" s="339"/>
      <c r="JY4" s="339"/>
      <c r="JZ4" s="339"/>
      <c r="KA4" s="339"/>
      <c r="KB4" s="339"/>
      <c r="KC4" s="339"/>
      <c r="KD4" s="339"/>
      <c r="KE4" s="339"/>
      <c r="KF4" s="339"/>
      <c r="KG4" s="339"/>
      <c r="KH4" s="339"/>
      <c r="KI4" s="339"/>
      <c r="KJ4" s="339"/>
      <c r="KK4" s="339"/>
      <c r="KL4" s="339"/>
      <c r="KM4" s="339"/>
      <c r="KN4" s="339"/>
    </row>
    <row r="5" spans="1:300">
      <c r="A5" s="1" t="s">
        <v>1</v>
      </c>
      <c r="B5" s="2" t="s">
        <v>6</v>
      </c>
      <c r="C5" s="1" t="s">
        <v>7</v>
      </c>
    </row>
    <row r="6" spans="1:300">
      <c r="A6" s="1" t="s">
        <v>1</v>
      </c>
      <c r="B6" s="2" t="s">
        <v>8</v>
      </c>
      <c r="C6" s="1" t="s">
        <v>9</v>
      </c>
    </row>
    <row r="7" spans="1:300">
      <c r="A7" s="1" t="s">
        <v>1</v>
      </c>
      <c r="B7" s="2" t="s">
        <v>10</v>
      </c>
      <c r="C7" s="1" t="s">
        <v>11</v>
      </c>
    </row>
    <row r="8" spans="1:300">
      <c r="A8" s="339" t="s">
        <v>1</v>
      </c>
      <c r="B8" s="339"/>
      <c r="C8" s="339"/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9"/>
      <c r="Q8" s="339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BZ8" s="339"/>
      <c r="CA8" s="339"/>
      <c r="CB8" s="339"/>
      <c r="CC8" s="339"/>
      <c r="CD8" s="339"/>
      <c r="CE8" s="339"/>
      <c r="CF8" s="339"/>
      <c r="CG8" s="339"/>
      <c r="CH8" s="339"/>
      <c r="CI8" s="339"/>
      <c r="CJ8" s="339"/>
      <c r="CK8" s="339"/>
      <c r="CL8" s="339"/>
      <c r="CM8" s="339"/>
      <c r="CN8" s="339"/>
      <c r="CO8" s="339"/>
      <c r="CP8" s="339"/>
      <c r="CQ8" s="339"/>
      <c r="CR8" s="339"/>
      <c r="CS8" s="339"/>
      <c r="CT8" s="339"/>
      <c r="CU8" s="339"/>
      <c r="CV8" s="339"/>
      <c r="CW8" s="339"/>
      <c r="CX8" s="339"/>
      <c r="CY8" s="339"/>
      <c r="CZ8" s="339"/>
      <c r="DA8" s="339"/>
      <c r="DB8" s="339"/>
      <c r="DC8" s="339"/>
      <c r="DD8" s="339"/>
      <c r="DE8" s="339"/>
      <c r="DF8" s="339"/>
      <c r="DG8" s="339"/>
      <c r="DH8" s="339"/>
      <c r="DI8" s="339"/>
      <c r="DJ8" s="339"/>
      <c r="DK8" s="339"/>
      <c r="DL8" s="339"/>
      <c r="DM8" s="339"/>
      <c r="DN8" s="339"/>
      <c r="DO8" s="339"/>
      <c r="DP8" s="339"/>
      <c r="DQ8" s="339"/>
      <c r="DR8" s="339"/>
      <c r="DS8" s="339"/>
      <c r="DT8" s="339"/>
      <c r="DU8" s="339"/>
      <c r="DV8" s="339"/>
      <c r="DW8" s="339"/>
      <c r="DX8" s="339"/>
      <c r="DY8" s="339"/>
      <c r="DZ8" s="339"/>
      <c r="EA8" s="339"/>
      <c r="EB8" s="339"/>
      <c r="EC8" s="339"/>
      <c r="ED8" s="339"/>
      <c r="EE8" s="339"/>
      <c r="EF8" s="339"/>
      <c r="EG8" s="339"/>
      <c r="EH8" s="339"/>
      <c r="EI8" s="339"/>
      <c r="EJ8" s="339"/>
      <c r="EK8" s="339"/>
      <c r="EL8" s="339"/>
      <c r="EM8" s="339"/>
      <c r="EN8" s="339"/>
      <c r="EO8" s="339"/>
      <c r="EP8" s="339"/>
      <c r="EQ8" s="339"/>
      <c r="ER8" s="339"/>
      <c r="ES8" s="339"/>
      <c r="ET8" s="339"/>
      <c r="EU8" s="339"/>
      <c r="EV8" s="339"/>
      <c r="EW8" s="339"/>
      <c r="EX8" s="339"/>
      <c r="EY8" s="339"/>
      <c r="EZ8" s="339"/>
      <c r="FA8" s="339"/>
      <c r="FB8" s="339"/>
      <c r="FC8" s="339"/>
      <c r="FD8" s="339"/>
      <c r="FE8" s="339"/>
      <c r="FF8" s="339"/>
      <c r="FG8" s="339"/>
      <c r="FH8" s="339"/>
      <c r="FI8" s="339"/>
      <c r="FJ8" s="339"/>
      <c r="FK8" s="339"/>
      <c r="FL8" s="339"/>
      <c r="FM8" s="339"/>
      <c r="FN8" s="339"/>
      <c r="FO8" s="339"/>
      <c r="FP8" s="339"/>
      <c r="FQ8" s="339"/>
      <c r="FR8" s="339"/>
      <c r="FS8" s="339"/>
      <c r="FT8" s="339"/>
      <c r="FU8" s="339"/>
      <c r="FV8" s="339"/>
      <c r="FW8" s="339"/>
      <c r="FX8" s="339"/>
      <c r="FY8" s="339"/>
      <c r="FZ8" s="339"/>
      <c r="GA8" s="339"/>
      <c r="GB8" s="339"/>
      <c r="GC8" s="339"/>
      <c r="GD8" s="339"/>
      <c r="GE8" s="339"/>
      <c r="GF8" s="339"/>
      <c r="GG8" s="339"/>
      <c r="GH8" s="339"/>
      <c r="GI8" s="339"/>
      <c r="GJ8" s="339"/>
      <c r="GK8" s="339"/>
      <c r="GL8" s="339"/>
      <c r="GM8" s="339"/>
      <c r="GN8" s="339"/>
      <c r="GO8" s="339"/>
      <c r="GP8" s="339"/>
      <c r="GQ8" s="339"/>
      <c r="GR8" s="339"/>
      <c r="GS8" s="339"/>
      <c r="GT8" s="339"/>
      <c r="GU8" s="339"/>
      <c r="GV8" s="339"/>
      <c r="GW8" s="339"/>
      <c r="GX8" s="339"/>
      <c r="GY8" s="339"/>
      <c r="GZ8" s="339"/>
      <c r="HA8" s="339"/>
      <c r="HB8" s="339"/>
      <c r="HC8" s="339"/>
      <c r="HD8" s="339"/>
      <c r="HE8" s="339"/>
      <c r="HF8" s="339"/>
      <c r="HG8" s="339"/>
      <c r="HH8" s="339"/>
      <c r="HI8" s="339"/>
      <c r="HJ8" s="339"/>
      <c r="HK8" s="339"/>
      <c r="HL8" s="339"/>
      <c r="HM8" s="339"/>
      <c r="HN8" s="339"/>
      <c r="HO8" s="339"/>
      <c r="HP8" s="339"/>
      <c r="HQ8" s="339"/>
      <c r="HR8" s="339"/>
      <c r="HS8" s="339"/>
      <c r="HT8" s="339"/>
      <c r="HU8" s="339"/>
      <c r="HV8" s="339"/>
      <c r="HW8" s="339"/>
      <c r="HX8" s="339"/>
      <c r="HY8" s="339"/>
      <c r="HZ8" s="339"/>
      <c r="IA8" s="339"/>
      <c r="IB8" s="339"/>
      <c r="IC8" s="339"/>
      <c r="ID8" s="339"/>
      <c r="IE8" s="339"/>
      <c r="IF8" s="339"/>
      <c r="IG8" s="339"/>
      <c r="IH8" s="339"/>
      <c r="II8" s="339"/>
      <c r="IJ8" s="339"/>
      <c r="IK8" s="339"/>
      <c r="IL8" s="339"/>
      <c r="IM8" s="339"/>
      <c r="IN8" s="339"/>
      <c r="IO8" s="339"/>
      <c r="IP8" s="339"/>
      <c r="IQ8" s="339"/>
      <c r="IR8" s="339"/>
      <c r="IS8" s="339"/>
      <c r="IT8" s="339"/>
      <c r="IU8" s="339"/>
      <c r="IV8" s="339"/>
      <c r="IW8" s="339"/>
      <c r="IX8" s="339"/>
      <c r="IY8" s="339"/>
      <c r="IZ8" s="339"/>
      <c r="JA8" s="339"/>
      <c r="JB8" s="339"/>
      <c r="JC8" s="339"/>
      <c r="JD8" s="339"/>
      <c r="JE8" s="339"/>
      <c r="JF8" s="339"/>
      <c r="JG8" s="339"/>
      <c r="JH8" s="339"/>
      <c r="JI8" s="339"/>
      <c r="JJ8" s="339"/>
      <c r="JK8" s="339"/>
      <c r="JL8" s="339"/>
      <c r="JM8" s="339"/>
      <c r="JN8" s="339"/>
      <c r="JO8" s="339"/>
      <c r="JP8" s="339"/>
      <c r="JQ8" s="339"/>
      <c r="JR8" s="339"/>
      <c r="JS8" s="339"/>
      <c r="JT8" s="339"/>
      <c r="JU8" s="339"/>
      <c r="JV8" s="339"/>
      <c r="JW8" s="339"/>
      <c r="JX8" s="339"/>
      <c r="JY8" s="339"/>
      <c r="JZ8" s="339"/>
      <c r="KA8" s="339"/>
      <c r="KB8" s="339"/>
      <c r="KC8" s="339"/>
      <c r="KD8" s="339"/>
      <c r="KE8" s="339"/>
      <c r="KF8" s="339"/>
      <c r="KG8" s="339"/>
      <c r="KH8" s="339"/>
      <c r="KI8" s="339"/>
      <c r="KJ8" s="339"/>
      <c r="KK8" s="339"/>
      <c r="KL8" s="339"/>
      <c r="KM8" s="339"/>
      <c r="KN8" s="339"/>
    </row>
    <row r="9" spans="1:300">
      <c r="A9" s="1" t="s">
        <v>1</v>
      </c>
      <c r="B9" s="401" t="s">
        <v>12</v>
      </c>
      <c r="C9" s="401"/>
    </row>
    <row r="10" spans="1:300">
      <c r="A10" s="1" t="s">
        <v>1</v>
      </c>
      <c r="B10" s="15" t="s">
        <v>13</v>
      </c>
      <c r="C10" s="14">
        <v>162487.04999999999</v>
      </c>
    </row>
    <row r="11" spans="1:300">
      <c r="A11" s="1" t="s">
        <v>1</v>
      </c>
      <c r="B11" s="4" t="s">
        <v>14</v>
      </c>
      <c r="C11" s="3">
        <v>161832.30710999999</v>
      </c>
    </row>
    <row r="12" spans="1:300">
      <c r="A12" s="1" t="s">
        <v>1</v>
      </c>
      <c r="B12" s="4" t="s">
        <v>15</v>
      </c>
      <c r="C12" s="3">
        <v>162487.04999999999</v>
      </c>
    </row>
    <row r="13" spans="1:300">
      <c r="A13" s="1" t="s">
        <v>1</v>
      </c>
      <c r="B13" s="4" t="s">
        <v>16</v>
      </c>
      <c r="C13" s="3">
        <v>-0.40300000000000002</v>
      </c>
    </row>
    <row r="14" spans="1:300">
      <c r="A14" s="1" t="s">
        <v>1</v>
      </c>
      <c r="B14" s="4" t="s">
        <v>17</v>
      </c>
      <c r="C14" s="3">
        <v>162515.1</v>
      </c>
    </row>
    <row r="15" spans="1:300">
      <c r="A15" s="1" t="s">
        <v>1</v>
      </c>
      <c r="B15" s="4" t="s">
        <v>18</v>
      </c>
      <c r="C15" s="3">
        <v>153926</v>
      </c>
    </row>
    <row r="16" spans="1:300">
      <c r="A16" s="1" t="s">
        <v>1</v>
      </c>
      <c r="B16" s="4" t="s">
        <v>19</v>
      </c>
      <c r="C16" s="3">
        <v>168195.7</v>
      </c>
    </row>
    <row r="17" spans="1:300">
      <c r="A17" s="339" t="s">
        <v>1</v>
      </c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339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  <c r="BP17" s="339"/>
      <c r="BQ17" s="339"/>
      <c r="BR17" s="339"/>
      <c r="BS17" s="339"/>
      <c r="BT17" s="339"/>
      <c r="BU17" s="339"/>
      <c r="BV17" s="339"/>
      <c r="BW17" s="339"/>
      <c r="BX17" s="339"/>
      <c r="BY17" s="339"/>
      <c r="BZ17" s="339"/>
      <c r="CA17" s="339"/>
      <c r="CB17" s="339"/>
      <c r="CC17" s="339"/>
      <c r="CD17" s="339"/>
      <c r="CE17" s="339"/>
      <c r="CF17" s="339"/>
      <c r="CG17" s="339"/>
      <c r="CH17" s="339"/>
      <c r="CI17" s="339"/>
      <c r="CJ17" s="339"/>
      <c r="CK17" s="339"/>
      <c r="CL17" s="339"/>
      <c r="CM17" s="339"/>
      <c r="CN17" s="339"/>
      <c r="CO17" s="339"/>
      <c r="CP17" s="339"/>
      <c r="CQ17" s="339"/>
      <c r="CR17" s="339"/>
      <c r="CS17" s="339"/>
      <c r="CT17" s="339"/>
      <c r="CU17" s="339"/>
      <c r="CV17" s="339"/>
      <c r="CW17" s="339"/>
      <c r="CX17" s="339"/>
      <c r="CY17" s="339"/>
      <c r="CZ17" s="339"/>
      <c r="DA17" s="339"/>
      <c r="DB17" s="339"/>
      <c r="DC17" s="339"/>
      <c r="DD17" s="339"/>
      <c r="DE17" s="339"/>
      <c r="DF17" s="339"/>
      <c r="DG17" s="339"/>
      <c r="DH17" s="339"/>
      <c r="DI17" s="339"/>
      <c r="DJ17" s="339"/>
      <c r="DK17" s="339"/>
      <c r="DL17" s="339"/>
      <c r="DM17" s="339"/>
      <c r="DN17" s="339"/>
      <c r="DO17" s="339"/>
      <c r="DP17" s="339"/>
      <c r="DQ17" s="339"/>
      <c r="DR17" s="339"/>
      <c r="DS17" s="339"/>
      <c r="DT17" s="339"/>
      <c r="DU17" s="339"/>
      <c r="DV17" s="339"/>
      <c r="DW17" s="339"/>
      <c r="DX17" s="339"/>
      <c r="DY17" s="339"/>
      <c r="DZ17" s="339"/>
      <c r="EA17" s="339"/>
      <c r="EB17" s="339"/>
      <c r="EC17" s="339"/>
      <c r="ED17" s="339"/>
      <c r="EE17" s="339"/>
      <c r="EF17" s="339"/>
      <c r="EG17" s="339"/>
      <c r="EH17" s="339"/>
      <c r="EI17" s="339"/>
      <c r="EJ17" s="339"/>
      <c r="EK17" s="339"/>
      <c r="EL17" s="339"/>
      <c r="EM17" s="339"/>
      <c r="EN17" s="339"/>
      <c r="EO17" s="339"/>
      <c r="EP17" s="339"/>
      <c r="EQ17" s="339"/>
      <c r="ER17" s="339"/>
      <c r="ES17" s="339"/>
      <c r="ET17" s="339"/>
      <c r="EU17" s="339"/>
      <c r="EV17" s="339"/>
      <c r="EW17" s="339"/>
      <c r="EX17" s="339"/>
      <c r="EY17" s="339"/>
      <c r="EZ17" s="339"/>
      <c r="FA17" s="339"/>
      <c r="FB17" s="339"/>
      <c r="FC17" s="339"/>
      <c r="FD17" s="339"/>
      <c r="FE17" s="339"/>
      <c r="FF17" s="339"/>
      <c r="FG17" s="339"/>
      <c r="FH17" s="339"/>
      <c r="FI17" s="339"/>
      <c r="FJ17" s="339"/>
      <c r="FK17" s="339"/>
      <c r="FL17" s="339"/>
      <c r="FM17" s="339"/>
      <c r="FN17" s="339"/>
      <c r="FO17" s="339"/>
      <c r="FP17" s="339"/>
      <c r="FQ17" s="339"/>
      <c r="FR17" s="339"/>
      <c r="FS17" s="339"/>
      <c r="FT17" s="339"/>
      <c r="FU17" s="339"/>
      <c r="FV17" s="339"/>
      <c r="FW17" s="339"/>
      <c r="FX17" s="339"/>
      <c r="FY17" s="339"/>
      <c r="FZ17" s="339"/>
      <c r="GA17" s="339"/>
      <c r="GB17" s="339"/>
      <c r="GC17" s="339"/>
      <c r="GD17" s="339"/>
      <c r="GE17" s="339"/>
      <c r="GF17" s="339"/>
      <c r="GG17" s="339"/>
      <c r="GH17" s="339"/>
      <c r="GI17" s="339"/>
      <c r="GJ17" s="339"/>
      <c r="GK17" s="339"/>
      <c r="GL17" s="339"/>
      <c r="GM17" s="339"/>
      <c r="GN17" s="339"/>
      <c r="GO17" s="339"/>
      <c r="GP17" s="339"/>
      <c r="GQ17" s="339"/>
      <c r="GR17" s="339"/>
      <c r="GS17" s="339"/>
      <c r="GT17" s="339"/>
      <c r="GU17" s="339"/>
      <c r="GV17" s="339"/>
      <c r="GW17" s="339"/>
      <c r="GX17" s="339"/>
      <c r="GY17" s="339"/>
      <c r="GZ17" s="339"/>
      <c r="HA17" s="339"/>
      <c r="HB17" s="339"/>
      <c r="HC17" s="339"/>
      <c r="HD17" s="339"/>
      <c r="HE17" s="339"/>
      <c r="HF17" s="339"/>
      <c r="HG17" s="339"/>
      <c r="HH17" s="339"/>
      <c r="HI17" s="339"/>
      <c r="HJ17" s="339"/>
      <c r="HK17" s="339"/>
      <c r="HL17" s="339"/>
      <c r="HM17" s="339"/>
      <c r="HN17" s="339"/>
      <c r="HO17" s="339"/>
      <c r="HP17" s="339"/>
      <c r="HQ17" s="339"/>
      <c r="HR17" s="339"/>
      <c r="HS17" s="339"/>
      <c r="HT17" s="339"/>
      <c r="HU17" s="339"/>
      <c r="HV17" s="339"/>
      <c r="HW17" s="339"/>
      <c r="HX17" s="339"/>
      <c r="HY17" s="339"/>
      <c r="HZ17" s="339"/>
      <c r="IA17" s="339"/>
      <c r="IB17" s="339"/>
      <c r="IC17" s="339"/>
      <c r="ID17" s="339"/>
      <c r="IE17" s="339"/>
      <c r="IF17" s="339"/>
      <c r="IG17" s="339"/>
      <c r="IH17" s="339"/>
      <c r="II17" s="339"/>
      <c r="IJ17" s="339"/>
      <c r="IK17" s="339"/>
      <c r="IL17" s="339"/>
      <c r="IM17" s="339"/>
      <c r="IN17" s="339"/>
      <c r="IO17" s="339"/>
      <c r="IP17" s="339"/>
      <c r="IQ17" s="339"/>
      <c r="IR17" s="339"/>
      <c r="IS17" s="339"/>
      <c r="IT17" s="339"/>
      <c r="IU17" s="339"/>
      <c r="IV17" s="339"/>
      <c r="IW17" s="339"/>
      <c r="IX17" s="339"/>
      <c r="IY17" s="339"/>
      <c r="IZ17" s="339"/>
      <c r="JA17" s="339"/>
      <c r="JB17" s="339"/>
      <c r="JC17" s="339"/>
      <c r="JD17" s="339"/>
      <c r="JE17" s="339"/>
      <c r="JF17" s="339"/>
      <c r="JG17" s="339"/>
      <c r="JH17" s="339"/>
      <c r="JI17" s="339"/>
      <c r="JJ17" s="339"/>
      <c r="JK17" s="339"/>
      <c r="JL17" s="339"/>
      <c r="JM17" s="339"/>
      <c r="JN17" s="339"/>
      <c r="JO17" s="339"/>
      <c r="JP17" s="339"/>
      <c r="JQ17" s="339"/>
      <c r="JR17" s="339"/>
      <c r="JS17" s="339"/>
      <c r="JT17" s="339"/>
      <c r="JU17" s="339"/>
      <c r="JV17" s="339"/>
      <c r="JW17" s="339"/>
      <c r="JX17" s="339"/>
      <c r="JY17" s="339"/>
      <c r="JZ17" s="339"/>
      <c r="KA17" s="339"/>
      <c r="KB17" s="339"/>
      <c r="KC17" s="339"/>
      <c r="KD17" s="339"/>
      <c r="KE17" s="339"/>
      <c r="KF17" s="339"/>
      <c r="KG17" s="339"/>
      <c r="KH17" s="339"/>
      <c r="KI17" s="339"/>
      <c r="KJ17" s="339"/>
      <c r="KK17" s="339"/>
      <c r="KL17" s="339"/>
      <c r="KM17" s="339"/>
      <c r="KN17" s="339"/>
    </row>
    <row r="18" spans="1:300">
      <c r="A18" s="1" t="s">
        <v>1</v>
      </c>
      <c r="B18" s="401" t="s">
        <v>20</v>
      </c>
      <c r="C18" s="401"/>
    </row>
    <row r="19" spans="1:300">
      <c r="A19" s="1" t="s">
        <v>1</v>
      </c>
      <c r="B19" s="4" t="s">
        <v>21</v>
      </c>
      <c r="C19" s="3" t="s">
        <v>22</v>
      </c>
    </row>
    <row r="20" spans="1:300">
      <c r="A20" s="1" t="s">
        <v>1</v>
      </c>
      <c r="B20" s="4" t="s">
        <v>23</v>
      </c>
      <c r="C20" s="3">
        <v>0.122</v>
      </c>
    </row>
    <row r="21" spans="1:300">
      <c r="A21" s="1" t="s">
        <v>1</v>
      </c>
      <c r="B21" s="4" t="s">
        <v>24</v>
      </c>
      <c r="C21" s="3">
        <v>6.7610000000000001</v>
      </c>
    </row>
    <row r="22" spans="1:300">
      <c r="A22" s="339" t="s">
        <v>1</v>
      </c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  <c r="BY22" s="339"/>
      <c r="BZ22" s="339"/>
      <c r="CA22" s="339"/>
      <c r="CB22" s="339"/>
      <c r="CC22" s="339"/>
      <c r="CD22" s="339"/>
      <c r="CE22" s="339"/>
      <c r="CF22" s="339"/>
      <c r="CG22" s="339"/>
      <c r="CH22" s="339"/>
      <c r="CI22" s="339"/>
      <c r="CJ22" s="339"/>
      <c r="CK22" s="339"/>
      <c r="CL22" s="339"/>
      <c r="CM22" s="339"/>
      <c r="CN22" s="339"/>
      <c r="CO22" s="339"/>
      <c r="CP22" s="339"/>
      <c r="CQ22" s="339"/>
      <c r="CR22" s="339"/>
      <c r="CS22" s="339"/>
      <c r="CT22" s="339"/>
      <c r="CU22" s="339"/>
      <c r="CV22" s="339"/>
      <c r="CW22" s="339"/>
      <c r="CX22" s="339"/>
      <c r="CY22" s="339"/>
      <c r="CZ22" s="339"/>
      <c r="DA22" s="339"/>
      <c r="DB22" s="339"/>
      <c r="DC22" s="339"/>
      <c r="DD22" s="339"/>
      <c r="DE22" s="339"/>
      <c r="DF22" s="339"/>
      <c r="DG22" s="339"/>
      <c r="DH22" s="339"/>
      <c r="DI22" s="339"/>
      <c r="DJ22" s="339"/>
      <c r="DK22" s="339"/>
      <c r="DL22" s="339"/>
      <c r="DM22" s="339"/>
      <c r="DN22" s="339"/>
      <c r="DO22" s="339"/>
      <c r="DP22" s="339"/>
      <c r="DQ22" s="339"/>
      <c r="DR22" s="339"/>
      <c r="DS22" s="339"/>
      <c r="DT22" s="339"/>
      <c r="DU22" s="339"/>
      <c r="DV22" s="339"/>
      <c r="DW22" s="339"/>
      <c r="DX22" s="339"/>
      <c r="DY22" s="339"/>
      <c r="DZ22" s="339"/>
      <c r="EA22" s="339"/>
      <c r="EB22" s="339"/>
      <c r="EC22" s="339"/>
      <c r="ED22" s="339"/>
      <c r="EE22" s="339"/>
      <c r="EF22" s="339"/>
      <c r="EG22" s="339"/>
      <c r="EH22" s="339"/>
      <c r="EI22" s="339"/>
      <c r="EJ22" s="339"/>
      <c r="EK22" s="339"/>
      <c r="EL22" s="339"/>
      <c r="EM22" s="339"/>
      <c r="EN22" s="339"/>
      <c r="EO22" s="339"/>
      <c r="EP22" s="339"/>
      <c r="EQ22" s="339"/>
      <c r="ER22" s="339"/>
      <c r="ES22" s="339"/>
      <c r="ET22" s="339"/>
      <c r="EU22" s="339"/>
      <c r="EV22" s="339"/>
      <c r="EW22" s="339"/>
      <c r="EX22" s="339"/>
      <c r="EY22" s="339"/>
      <c r="EZ22" s="339"/>
      <c r="FA22" s="339"/>
      <c r="FB22" s="339"/>
      <c r="FC22" s="339"/>
      <c r="FD22" s="339"/>
      <c r="FE22" s="339"/>
      <c r="FF22" s="339"/>
      <c r="FG22" s="339"/>
      <c r="FH22" s="339"/>
      <c r="FI22" s="339"/>
      <c r="FJ22" s="339"/>
      <c r="FK22" s="339"/>
      <c r="FL22" s="339"/>
      <c r="FM22" s="339"/>
      <c r="FN22" s="339"/>
      <c r="FO22" s="339"/>
      <c r="FP22" s="339"/>
      <c r="FQ22" s="339"/>
      <c r="FR22" s="339"/>
      <c r="FS22" s="339"/>
      <c r="FT22" s="339"/>
      <c r="FU22" s="339"/>
      <c r="FV22" s="339"/>
      <c r="FW22" s="339"/>
      <c r="FX22" s="339"/>
      <c r="FY22" s="339"/>
      <c r="FZ22" s="339"/>
      <c r="GA22" s="339"/>
      <c r="GB22" s="339"/>
      <c r="GC22" s="339"/>
      <c r="GD22" s="339"/>
      <c r="GE22" s="339"/>
      <c r="GF22" s="339"/>
      <c r="GG22" s="339"/>
      <c r="GH22" s="339"/>
      <c r="GI22" s="339"/>
      <c r="GJ22" s="339"/>
      <c r="GK22" s="339"/>
      <c r="GL22" s="339"/>
      <c r="GM22" s="339"/>
      <c r="GN22" s="339"/>
      <c r="GO22" s="339"/>
      <c r="GP22" s="339"/>
      <c r="GQ22" s="339"/>
      <c r="GR22" s="339"/>
      <c r="GS22" s="339"/>
      <c r="GT22" s="339"/>
      <c r="GU22" s="339"/>
      <c r="GV22" s="339"/>
      <c r="GW22" s="339"/>
      <c r="GX22" s="339"/>
      <c r="GY22" s="339"/>
      <c r="GZ22" s="339"/>
      <c r="HA22" s="339"/>
      <c r="HB22" s="339"/>
      <c r="HC22" s="339"/>
      <c r="HD22" s="339"/>
      <c r="HE22" s="339"/>
      <c r="HF22" s="339"/>
      <c r="HG22" s="339"/>
      <c r="HH22" s="339"/>
      <c r="HI22" s="339"/>
      <c r="HJ22" s="339"/>
      <c r="HK22" s="339"/>
      <c r="HL22" s="339"/>
      <c r="HM22" s="339"/>
      <c r="HN22" s="339"/>
      <c r="HO22" s="339"/>
      <c r="HP22" s="339"/>
      <c r="HQ22" s="339"/>
      <c r="HR22" s="339"/>
      <c r="HS22" s="339"/>
      <c r="HT22" s="339"/>
      <c r="HU22" s="339"/>
      <c r="HV22" s="339"/>
      <c r="HW22" s="339"/>
      <c r="HX22" s="339"/>
      <c r="HY22" s="339"/>
      <c r="HZ22" s="339"/>
      <c r="IA22" s="339"/>
      <c r="IB22" s="339"/>
      <c r="IC22" s="339"/>
      <c r="ID22" s="339"/>
      <c r="IE22" s="339"/>
      <c r="IF22" s="339"/>
      <c r="IG22" s="339"/>
      <c r="IH22" s="339"/>
      <c r="II22" s="339"/>
      <c r="IJ22" s="339"/>
      <c r="IK22" s="339"/>
      <c r="IL22" s="339"/>
      <c r="IM22" s="339"/>
      <c r="IN22" s="339"/>
      <c r="IO22" s="339"/>
      <c r="IP22" s="339"/>
      <c r="IQ22" s="339"/>
      <c r="IR22" s="339"/>
      <c r="IS22" s="339"/>
      <c r="IT22" s="339"/>
      <c r="IU22" s="339"/>
      <c r="IV22" s="339"/>
      <c r="IW22" s="339"/>
      <c r="IX22" s="339"/>
      <c r="IY22" s="339"/>
      <c r="IZ22" s="339"/>
      <c r="JA22" s="339"/>
      <c r="JB22" s="339"/>
      <c r="JC22" s="339"/>
      <c r="JD22" s="339"/>
      <c r="JE22" s="339"/>
      <c r="JF22" s="339"/>
      <c r="JG22" s="339"/>
      <c r="JH22" s="339"/>
      <c r="JI22" s="339"/>
      <c r="JJ22" s="339"/>
      <c r="JK22" s="339"/>
      <c r="JL22" s="339"/>
      <c r="JM22" s="339"/>
      <c r="JN22" s="339"/>
      <c r="JO22" s="339"/>
      <c r="JP22" s="339"/>
      <c r="JQ22" s="339"/>
      <c r="JR22" s="339"/>
      <c r="JS22" s="339"/>
      <c r="JT22" s="339"/>
      <c r="JU22" s="339"/>
      <c r="JV22" s="339"/>
      <c r="JW22" s="339"/>
      <c r="JX22" s="339"/>
      <c r="JY22" s="339"/>
      <c r="JZ22" s="339"/>
      <c r="KA22" s="339"/>
      <c r="KB22" s="339"/>
      <c r="KC22" s="339"/>
      <c r="KD22" s="339"/>
      <c r="KE22" s="339"/>
      <c r="KF22" s="339"/>
      <c r="KG22" s="339"/>
      <c r="KH22" s="339"/>
      <c r="KI22" s="339"/>
      <c r="KJ22" s="339"/>
      <c r="KK22" s="339"/>
      <c r="KL22" s="339"/>
      <c r="KM22" s="339"/>
      <c r="KN22" s="339"/>
    </row>
    <row r="23" spans="1:300">
      <c r="A23" s="1" t="s">
        <v>1</v>
      </c>
      <c r="B23" s="401" t="s">
        <v>25</v>
      </c>
      <c r="C23" s="401"/>
      <c r="D23" s="401"/>
      <c r="E23" s="401"/>
    </row>
    <row r="24" spans="1:300">
      <c r="A24" s="1" t="s">
        <v>1</v>
      </c>
      <c r="B24" s="9" t="s">
        <v>26</v>
      </c>
      <c r="C24" s="9" t="s">
        <v>27</v>
      </c>
      <c r="D24" s="9" t="s">
        <v>28</v>
      </c>
      <c r="E24" s="9" t="s">
        <v>29</v>
      </c>
    </row>
    <row r="25" spans="1:300">
      <c r="A25" s="1" t="s">
        <v>1</v>
      </c>
      <c r="B25" s="4" t="s">
        <v>30</v>
      </c>
      <c r="C25" s="4" t="s">
        <v>31</v>
      </c>
      <c r="D25" s="3">
        <v>164439.125</v>
      </c>
      <c r="E25" s="3">
        <v>101.20137266323685</v>
      </c>
    </row>
    <row r="26" spans="1:300">
      <c r="A26" s="1" t="s">
        <v>1</v>
      </c>
      <c r="B26" s="4" t="s">
        <v>30</v>
      </c>
      <c r="C26" s="4" t="s">
        <v>32</v>
      </c>
      <c r="D26" s="3">
        <v>10029.666670000001</v>
      </c>
      <c r="E26" s="3">
        <v>6.1725944744519641</v>
      </c>
    </row>
    <row r="27" spans="1:300">
      <c r="A27" s="1" t="s">
        <v>1</v>
      </c>
      <c r="B27" s="4" t="s">
        <v>30</v>
      </c>
      <c r="C27" s="4" t="s">
        <v>33</v>
      </c>
      <c r="D27" s="3">
        <v>32.666670000000003</v>
      </c>
      <c r="E27" s="3">
        <v>2.0104168301412331E-2</v>
      </c>
    </row>
    <row r="28" spans="1:300">
      <c r="A28" s="339" t="s">
        <v>1</v>
      </c>
      <c r="B28" s="339"/>
      <c r="C28" s="339"/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39"/>
      <c r="Q28" s="339"/>
      <c r="R28" s="339"/>
      <c r="S28" s="339"/>
      <c r="T28" s="339"/>
      <c r="U28" s="339"/>
      <c r="V28" s="339"/>
      <c r="W28" s="339"/>
      <c r="X28" s="339"/>
      <c r="Y28" s="339"/>
      <c r="Z28" s="339"/>
      <c r="AA28" s="339"/>
      <c r="AB28" s="339"/>
      <c r="AC28" s="339"/>
      <c r="AD28" s="339"/>
      <c r="AE28" s="339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39"/>
      <c r="AT28" s="339"/>
      <c r="AU28" s="339"/>
      <c r="AV28" s="339"/>
      <c r="AW28" s="339"/>
      <c r="AX28" s="339"/>
      <c r="AY28" s="339"/>
      <c r="AZ28" s="339"/>
      <c r="BA28" s="339"/>
      <c r="BB28" s="339"/>
      <c r="BC28" s="339"/>
      <c r="BD28" s="339"/>
      <c r="BE28" s="339"/>
      <c r="BF28" s="339"/>
      <c r="BG28" s="339"/>
      <c r="BH28" s="339"/>
      <c r="BI28" s="339"/>
      <c r="BJ28" s="339"/>
      <c r="BK28" s="339"/>
      <c r="BL28" s="339"/>
      <c r="BM28" s="339"/>
      <c r="BN28" s="339"/>
      <c r="BO28" s="339"/>
      <c r="BP28" s="339"/>
      <c r="BQ28" s="339"/>
      <c r="BR28" s="339"/>
      <c r="BS28" s="339"/>
      <c r="BT28" s="339"/>
      <c r="BU28" s="339"/>
      <c r="BV28" s="339"/>
      <c r="BW28" s="339"/>
      <c r="BX28" s="339"/>
      <c r="BY28" s="339"/>
      <c r="BZ28" s="339"/>
      <c r="CA28" s="339"/>
      <c r="CB28" s="339"/>
      <c r="CC28" s="339"/>
      <c r="CD28" s="339"/>
      <c r="CE28" s="339"/>
      <c r="CF28" s="339"/>
      <c r="CG28" s="339"/>
      <c r="CH28" s="339"/>
      <c r="CI28" s="339"/>
      <c r="CJ28" s="339"/>
      <c r="CK28" s="339"/>
      <c r="CL28" s="339"/>
      <c r="CM28" s="339"/>
      <c r="CN28" s="339"/>
      <c r="CO28" s="339"/>
      <c r="CP28" s="339"/>
      <c r="CQ28" s="339"/>
      <c r="CR28" s="339"/>
      <c r="CS28" s="339"/>
      <c r="CT28" s="339"/>
      <c r="CU28" s="339"/>
      <c r="CV28" s="339"/>
      <c r="CW28" s="339"/>
      <c r="CX28" s="339"/>
      <c r="CY28" s="339"/>
      <c r="CZ28" s="339"/>
      <c r="DA28" s="339"/>
      <c r="DB28" s="339"/>
      <c r="DC28" s="339"/>
      <c r="DD28" s="339"/>
      <c r="DE28" s="339"/>
      <c r="DF28" s="339"/>
      <c r="DG28" s="339"/>
      <c r="DH28" s="339"/>
      <c r="DI28" s="339"/>
      <c r="DJ28" s="339"/>
      <c r="DK28" s="339"/>
      <c r="DL28" s="339"/>
      <c r="DM28" s="339"/>
      <c r="DN28" s="339"/>
      <c r="DO28" s="339"/>
      <c r="DP28" s="339"/>
      <c r="DQ28" s="339"/>
      <c r="DR28" s="339"/>
      <c r="DS28" s="339"/>
      <c r="DT28" s="339"/>
      <c r="DU28" s="339"/>
      <c r="DV28" s="339"/>
      <c r="DW28" s="339"/>
      <c r="DX28" s="339"/>
      <c r="DY28" s="339"/>
      <c r="DZ28" s="339"/>
      <c r="EA28" s="339"/>
      <c r="EB28" s="339"/>
      <c r="EC28" s="339"/>
      <c r="ED28" s="339"/>
      <c r="EE28" s="339"/>
      <c r="EF28" s="339"/>
      <c r="EG28" s="339"/>
      <c r="EH28" s="339"/>
      <c r="EI28" s="339"/>
      <c r="EJ28" s="339"/>
      <c r="EK28" s="339"/>
      <c r="EL28" s="339"/>
      <c r="EM28" s="339"/>
      <c r="EN28" s="339"/>
      <c r="EO28" s="339"/>
      <c r="EP28" s="339"/>
      <c r="EQ28" s="339"/>
      <c r="ER28" s="339"/>
      <c r="ES28" s="339"/>
      <c r="ET28" s="339"/>
      <c r="EU28" s="339"/>
      <c r="EV28" s="339"/>
      <c r="EW28" s="339"/>
      <c r="EX28" s="339"/>
      <c r="EY28" s="339"/>
      <c r="EZ28" s="339"/>
      <c r="FA28" s="339"/>
      <c r="FB28" s="339"/>
      <c r="FC28" s="339"/>
      <c r="FD28" s="339"/>
      <c r="FE28" s="339"/>
      <c r="FF28" s="339"/>
      <c r="FG28" s="339"/>
      <c r="FH28" s="339"/>
      <c r="FI28" s="339"/>
      <c r="FJ28" s="339"/>
      <c r="FK28" s="339"/>
      <c r="FL28" s="339"/>
      <c r="FM28" s="339"/>
      <c r="FN28" s="339"/>
      <c r="FO28" s="339"/>
      <c r="FP28" s="339"/>
      <c r="FQ28" s="339"/>
      <c r="FR28" s="339"/>
      <c r="FS28" s="339"/>
      <c r="FT28" s="339"/>
      <c r="FU28" s="339"/>
      <c r="FV28" s="339"/>
      <c r="FW28" s="339"/>
      <c r="FX28" s="339"/>
      <c r="FY28" s="339"/>
      <c r="FZ28" s="339"/>
      <c r="GA28" s="339"/>
      <c r="GB28" s="339"/>
      <c r="GC28" s="339"/>
      <c r="GD28" s="339"/>
      <c r="GE28" s="339"/>
      <c r="GF28" s="339"/>
      <c r="GG28" s="339"/>
      <c r="GH28" s="339"/>
      <c r="GI28" s="339"/>
      <c r="GJ28" s="339"/>
      <c r="GK28" s="339"/>
      <c r="GL28" s="339"/>
      <c r="GM28" s="339"/>
      <c r="GN28" s="339"/>
      <c r="GO28" s="339"/>
      <c r="GP28" s="339"/>
      <c r="GQ28" s="339"/>
      <c r="GR28" s="339"/>
      <c r="GS28" s="339"/>
      <c r="GT28" s="339"/>
      <c r="GU28" s="339"/>
      <c r="GV28" s="339"/>
      <c r="GW28" s="339"/>
      <c r="GX28" s="339"/>
      <c r="GY28" s="339"/>
      <c r="GZ28" s="339"/>
      <c r="HA28" s="339"/>
      <c r="HB28" s="339"/>
      <c r="HC28" s="339"/>
      <c r="HD28" s="339"/>
      <c r="HE28" s="339"/>
      <c r="HF28" s="339"/>
      <c r="HG28" s="339"/>
      <c r="HH28" s="339"/>
      <c r="HI28" s="339"/>
      <c r="HJ28" s="339"/>
      <c r="HK28" s="339"/>
      <c r="HL28" s="339"/>
      <c r="HM28" s="339"/>
      <c r="HN28" s="339"/>
      <c r="HO28" s="339"/>
      <c r="HP28" s="339"/>
      <c r="HQ28" s="339"/>
      <c r="HR28" s="339"/>
      <c r="HS28" s="339"/>
      <c r="HT28" s="339"/>
      <c r="HU28" s="339"/>
      <c r="HV28" s="339"/>
      <c r="HW28" s="339"/>
      <c r="HX28" s="339"/>
      <c r="HY28" s="339"/>
      <c r="HZ28" s="339"/>
      <c r="IA28" s="339"/>
      <c r="IB28" s="339"/>
      <c r="IC28" s="339"/>
      <c r="ID28" s="339"/>
      <c r="IE28" s="339"/>
      <c r="IF28" s="339"/>
      <c r="IG28" s="339"/>
      <c r="IH28" s="339"/>
      <c r="II28" s="339"/>
      <c r="IJ28" s="339"/>
      <c r="IK28" s="339"/>
      <c r="IL28" s="339"/>
      <c r="IM28" s="339"/>
      <c r="IN28" s="339"/>
      <c r="IO28" s="339"/>
      <c r="IP28" s="339"/>
      <c r="IQ28" s="339"/>
      <c r="IR28" s="339"/>
      <c r="IS28" s="339"/>
      <c r="IT28" s="339"/>
      <c r="IU28" s="339"/>
      <c r="IV28" s="339"/>
      <c r="IW28" s="339"/>
      <c r="IX28" s="339"/>
      <c r="IY28" s="339"/>
      <c r="IZ28" s="339"/>
      <c r="JA28" s="339"/>
      <c r="JB28" s="339"/>
      <c r="JC28" s="339"/>
      <c r="JD28" s="339"/>
      <c r="JE28" s="339"/>
      <c r="JF28" s="339"/>
      <c r="JG28" s="339"/>
      <c r="JH28" s="339"/>
      <c r="JI28" s="339"/>
      <c r="JJ28" s="339"/>
      <c r="JK28" s="339"/>
      <c r="JL28" s="339"/>
      <c r="JM28" s="339"/>
      <c r="JN28" s="339"/>
      <c r="JO28" s="339"/>
      <c r="JP28" s="339"/>
      <c r="JQ28" s="339"/>
      <c r="JR28" s="339"/>
      <c r="JS28" s="339"/>
      <c r="JT28" s="339"/>
      <c r="JU28" s="339"/>
      <c r="JV28" s="339"/>
      <c r="JW28" s="339"/>
      <c r="JX28" s="339"/>
      <c r="JY28" s="339"/>
      <c r="JZ28" s="339"/>
      <c r="KA28" s="339"/>
      <c r="KB28" s="339"/>
      <c r="KC28" s="339"/>
      <c r="KD28" s="339"/>
      <c r="KE28" s="339"/>
      <c r="KF28" s="339"/>
      <c r="KG28" s="339"/>
      <c r="KH28" s="339"/>
      <c r="KI28" s="339"/>
      <c r="KJ28" s="339"/>
      <c r="KK28" s="339"/>
      <c r="KL28" s="339"/>
      <c r="KM28" s="339"/>
      <c r="KN28" s="339"/>
    </row>
    <row r="29" spans="1:300">
      <c r="A29" s="1" t="s">
        <v>1</v>
      </c>
      <c r="B29" s="401" t="s">
        <v>34</v>
      </c>
      <c r="C29" s="401"/>
      <c r="D29" s="401"/>
      <c r="E29" s="401"/>
      <c r="F29" s="401"/>
      <c r="G29" s="401"/>
    </row>
    <row r="30" spans="1:300">
      <c r="A30" s="1" t="s">
        <v>1</v>
      </c>
      <c r="B30" s="9" t="s">
        <v>35</v>
      </c>
      <c r="C30" s="9" t="s">
        <v>34</v>
      </c>
      <c r="D30" s="9" t="s">
        <v>36</v>
      </c>
      <c r="E30" s="402" t="s">
        <v>37</v>
      </c>
      <c r="F30" s="402"/>
      <c r="G30" s="402"/>
    </row>
    <row r="31" spans="1:300">
      <c r="A31" s="1" t="s">
        <v>1</v>
      </c>
      <c r="B31" s="4" t="s">
        <v>38</v>
      </c>
      <c r="C31" s="4" t="s">
        <v>39</v>
      </c>
      <c r="D31" s="4" t="s">
        <v>40</v>
      </c>
      <c r="E31" s="341" t="s">
        <v>41</v>
      </c>
      <c r="F31" s="341"/>
      <c r="G31" s="341"/>
    </row>
    <row r="32" spans="1:300">
      <c r="A32" s="1" t="s">
        <v>1</v>
      </c>
      <c r="B32" s="4" t="s">
        <v>42</v>
      </c>
      <c r="C32" s="4" t="s">
        <v>39</v>
      </c>
      <c r="D32" s="4" t="s">
        <v>40</v>
      </c>
      <c r="E32" s="341" t="s">
        <v>43</v>
      </c>
      <c r="F32" s="341"/>
      <c r="G32" s="341"/>
    </row>
    <row r="33" spans="1:300">
      <c r="A33" s="1" t="s">
        <v>1</v>
      </c>
      <c r="B33" s="4" t="s">
        <v>44</v>
      </c>
      <c r="C33" s="4" t="s">
        <v>39</v>
      </c>
      <c r="D33" s="4" t="s">
        <v>40</v>
      </c>
      <c r="E33" s="341" t="s">
        <v>45</v>
      </c>
      <c r="F33" s="341"/>
      <c r="G33" s="341"/>
    </row>
    <row r="34" spans="1:300">
      <c r="A34" s="339" t="s">
        <v>1</v>
      </c>
      <c r="B34" s="339"/>
      <c r="C34" s="339"/>
      <c r="D34" s="339"/>
      <c r="E34" s="339"/>
      <c r="F34" s="339"/>
      <c r="G34" s="339"/>
      <c r="H34" s="339"/>
      <c r="I34" s="339"/>
      <c r="J34" s="339"/>
      <c r="K34" s="339"/>
      <c r="L34" s="339"/>
      <c r="M34" s="339"/>
      <c r="N34" s="339"/>
      <c r="O34" s="339"/>
      <c r="P34" s="339"/>
      <c r="Q34" s="339"/>
      <c r="R34" s="339"/>
      <c r="S34" s="339"/>
      <c r="T34" s="339"/>
      <c r="U34" s="339"/>
      <c r="V34" s="339"/>
      <c r="W34" s="339"/>
      <c r="X34" s="339"/>
      <c r="Y34" s="339"/>
      <c r="Z34" s="339"/>
      <c r="AA34" s="339"/>
      <c r="AB34" s="339"/>
      <c r="AC34" s="339"/>
      <c r="AD34" s="339"/>
      <c r="AE34" s="339"/>
      <c r="AF34" s="339"/>
      <c r="AG34" s="339"/>
      <c r="AH34" s="339"/>
      <c r="AI34" s="339"/>
      <c r="AJ34" s="339"/>
      <c r="AK34" s="339"/>
      <c r="AL34" s="339"/>
      <c r="AM34" s="339"/>
      <c r="AN34" s="339"/>
      <c r="AO34" s="339"/>
      <c r="AP34" s="339"/>
      <c r="AQ34" s="339"/>
      <c r="AR34" s="339"/>
      <c r="AS34" s="339"/>
      <c r="AT34" s="339"/>
      <c r="AU34" s="339"/>
      <c r="AV34" s="339"/>
      <c r="AW34" s="339"/>
      <c r="AX34" s="339"/>
      <c r="AY34" s="339"/>
      <c r="AZ34" s="339"/>
      <c r="BA34" s="339"/>
      <c r="BB34" s="339"/>
      <c r="BC34" s="339"/>
      <c r="BD34" s="339"/>
      <c r="BE34" s="339"/>
      <c r="BF34" s="339"/>
      <c r="BG34" s="339"/>
      <c r="BH34" s="339"/>
      <c r="BI34" s="339"/>
      <c r="BJ34" s="339"/>
      <c r="BK34" s="339"/>
      <c r="BL34" s="339"/>
      <c r="BM34" s="339"/>
      <c r="BN34" s="339"/>
      <c r="BO34" s="339"/>
      <c r="BP34" s="339"/>
      <c r="BQ34" s="339"/>
      <c r="BR34" s="339"/>
      <c r="BS34" s="339"/>
      <c r="BT34" s="339"/>
      <c r="BU34" s="339"/>
      <c r="BV34" s="339"/>
      <c r="BW34" s="339"/>
      <c r="BX34" s="339"/>
      <c r="BY34" s="339"/>
      <c r="BZ34" s="339"/>
      <c r="CA34" s="339"/>
      <c r="CB34" s="339"/>
      <c r="CC34" s="339"/>
      <c r="CD34" s="339"/>
      <c r="CE34" s="339"/>
      <c r="CF34" s="339"/>
      <c r="CG34" s="339"/>
      <c r="CH34" s="339"/>
      <c r="CI34" s="339"/>
      <c r="CJ34" s="339"/>
      <c r="CK34" s="339"/>
      <c r="CL34" s="339"/>
      <c r="CM34" s="339"/>
      <c r="CN34" s="339"/>
      <c r="CO34" s="339"/>
      <c r="CP34" s="339"/>
      <c r="CQ34" s="339"/>
      <c r="CR34" s="339"/>
      <c r="CS34" s="339"/>
      <c r="CT34" s="339"/>
      <c r="CU34" s="339"/>
      <c r="CV34" s="339"/>
      <c r="CW34" s="339"/>
      <c r="CX34" s="339"/>
      <c r="CY34" s="339"/>
      <c r="CZ34" s="339"/>
      <c r="DA34" s="339"/>
      <c r="DB34" s="339"/>
      <c r="DC34" s="339"/>
      <c r="DD34" s="339"/>
      <c r="DE34" s="339"/>
      <c r="DF34" s="339"/>
      <c r="DG34" s="339"/>
      <c r="DH34" s="339"/>
      <c r="DI34" s="339"/>
      <c r="DJ34" s="339"/>
      <c r="DK34" s="339"/>
      <c r="DL34" s="339"/>
      <c r="DM34" s="339"/>
      <c r="DN34" s="339"/>
      <c r="DO34" s="339"/>
      <c r="DP34" s="339"/>
      <c r="DQ34" s="339"/>
      <c r="DR34" s="339"/>
      <c r="DS34" s="339"/>
      <c r="DT34" s="339"/>
      <c r="DU34" s="339"/>
      <c r="DV34" s="339"/>
      <c r="DW34" s="339"/>
      <c r="DX34" s="339"/>
      <c r="DY34" s="339"/>
      <c r="DZ34" s="339"/>
      <c r="EA34" s="339"/>
      <c r="EB34" s="339"/>
      <c r="EC34" s="339"/>
      <c r="ED34" s="339"/>
      <c r="EE34" s="339"/>
      <c r="EF34" s="339"/>
      <c r="EG34" s="339"/>
      <c r="EH34" s="339"/>
      <c r="EI34" s="339"/>
      <c r="EJ34" s="339"/>
      <c r="EK34" s="339"/>
      <c r="EL34" s="339"/>
      <c r="EM34" s="339"/>
      <c r="EN34" s="339"/>
      <c r="EO34" s="339"/>
      <c r="EP34" s="339"/>
      <c r="EQ34" s="339"/>
      <c r="ER34" s="339"/>
      <c r="ES34" s="339"/>
      <c r="ET34" s="339"/>
      <c r="EU34" s="339"/>
      <c r="EV34" s="339"/>
      <c r="EW34" s="339"/>
      <c r="EX34" s="339"/>
      <c r="EY34" s="339"/>
      <c r="EZ34" s="339"/>
      <c r="FA34" s="339"/>
      <c r="FB34" s="339"/>
      <c r="FC34" s="339"/>
      <c r="FD34" s="339"/>
      <c r="FE34" s="339"/>
      <c r="FF34" s="339"/>
      <c r="FG34" s="339"/>
      <c r="FH34" s="339"/>
      <c r="FI34" s="339"/>
      <c r="FJ34" s="339"/>
      <c r="FK34" s="339"/>
      <c r="FL34" s="339"/>
      <c r="FM34" s="339"/>
      <c r="FN34" s="339"/>
      <c r="FO34" s="339"/>
      <c r="FP34" s="339"/>
      <c r="FQ34" s="339"/>
      <c r="FR34" s="339"/>
      <c r="FS34" s="339"/>
      <c r="FT34" s="339"/>
      <c r="FU34" s="339"/>
      <c r="FV34" s="339"/>
      <c r="FW34" s="339"/>
      <c r="FX34" s="339"/>
      <c r="FY34" s="339"/>
      <c r="FZ34" s="339"/>
      <c r="GA34" s="339"/>
      <c r="GB34" s="339"/>
      <c r="GC34" s="339"/>
      <c r="GD34" s="339"/>
      <c r="GE34" s="339"/>
      <c r="GF34" s="339"/>
      <c r="GG34" s="339"/>
      <c r="GH34" s="339"/>
      <c r="GI34" s="339"/>
      <c r="GJ34" s="339"/>
      <c r="GK34" s="339"/>
      <c r="GL34" s="339"/>
      <c r="GM34" s="339"/>
      <c r="GN34" s="339"/>
      <c r="GO34" s="339"/>
      <c r="GP34" s="339"/>
      <c r="GQ34" s="339"/>
      <c r="GR34" s="339"/>
      <c r="GS34" s="339"/>
      <c r="GT34" s="339"/>
      <c r="GU34" s="339"/>
      <c r="GV34" s="339"/>
      <c r="GW34" s="339"/>
      <c r="GX34" s="339"/>
      <c r="GY34" s="339"/>
      <c r="GZ34" s="339"/>
      <c r="HA34" s="339"/>
      <c r="HB34" s="339"/>
      <c r="HC34" s="339"/>
      <c r="HD34" s="339"/>
      <c r="HE34" s="339"/>
      <c r="HF34" s="339"/>
      <c r="HG34" s="339"/>
      <c r="HH34" s="339"/>
      <c r="HI34" s="339"/>
      <c r="HJ34" s="339"/>
      <c r="HK34" s="339"/>
      <c r="HL34" s="339"/>
      <c r="HM34" s="339"/>
      <c r="HN34" s="339"/>
      <c r="HO34" s="339"/>
      <c r="HP34" s="339"/>
      <c r="HQ34" s="339"/>
      <c r="HR34" s="339"/>
      <c r="HS34" s="339"/>
      <c r="HT34" s="339"/>
      <c r="HU34" s="339"/>
      <c r="HV34" s="339"/>
      <c r="HW34" s="339"/>
      <c r="HX34" s="339"/>
      <c r="HY34" s="339"/>
      <c r="HZ34" s="339"/>
      <c r="IA34" s="339"/>
      <c r="IB34" s="339"/>
      <c r="IC34" s="339"/>
      <c r="ID34" s="339"/>
      <c r="IE34" s="339"/>
      <c r="IF34" s="339"/>
      <c r="IG34" s="339"/>
      <c r="IH34" s="339"/>
      <c r="II34" s="339"/>
      <c r="IJ34" s="339"/>
      <c r="IK34" s="339"/>
      <c r="IL34" s="339"/>
      <c r="IM34" s="339"/>
      <c r="IN34" s="339"/>
      <c r="IO34" s="339"/>
      <c r="IP34" s="339"/>
      <c r="IQ34" s="339"/>
      <c r="IR34" s="339"/>
      <c r="IS34" s="339"/>
      <c r="IT34" s="339"/>
      <c r="IU34" s="339"/>
      <c r="IV34" s="339"/>
      <c r="IW34" s="339"/>
      <c r="IX34" s="339"/>
      <c r="IY34" s="339"/>
      <c r="IZ34" s="339"/>
      <c r="JA34" s="339"/>
      <c r="JB34" s="339"/>
      <c r="JC34" s="339"/>
      <c r="JD34" s="339"/>
      <c r="JE34" s="339"/>
      <c r="JF34" s="339"/>
      <c r="JG34" s="339"/>
      <c r="JH34" s="339"/>
      <c r="JI34" s="339"/>
      <c r="JJ34" s="339"/>
      <c r="JK34" s="339"/>
      <c r="JL34" s="339"/>
      <c r="JM34" s="339"/>
      <c r="JN34" s="339"/>
      <c r="JO34" s="339"/>
      <c r="JP34" s="339"/>
      <c r="JQ34" s="339"/>
      <c r="JR34" s="339"/>
      <c r="JS34" s="339"/>
      <c r="JT34" s="339"/>
      <c r="JU34" s="339"/>
      <c r="JV34" s="339"/>
      <c r="JW34" s="339"/>
      <c r="JX34" s="339"/>
      <c r="JY34" s="339"/>
      <c r="JZ34" s="339"/>
      <c r="KA34" s="339"/>
      <c r="KB34" s="339"/>
      <c r="KC34" s="339"/>
      <c r="KD34" s="339"/>
      <c r="KE34" s="339"/>
      <c r="KF34" s="339"/>
      <c r="KG34" s="339"/>
      <c r="KH34" s="339"/>
      <c r="KI34" s="339"/>
      <c r="KJ34" s="339"/>
      <c r="KK34" s="339"/>
      <c r="KL34" s="339"/>
      <c r="KM34" s="339"/>
      <c r="KN34" s="339"/>
    </row>
    <row r="35" spans="1:300">
      <c r="A35" s="401" t="s">
        <v>46</v>
      </c>
      <c r="B35" s="401"/>
      <c r="C35" s="401"/>
      <c r="D35" s="401"/>
      <c r="E35" s="401"/>
      <c r="F35" s="401"/>
      <c r="G35" s="401"/>
      <c r="H35" s="401"/>
      <c r="I35" s="401"/>
      <c r="J35" s="401"/>
      <c r="K35" s="401"/>
    </row>
    <row r="36" spans="1:300">
      <c r="A36" s="401" t="s">
        <v>47</v>
      </c>
      <c r="B36" s="401"/>
      <c r="C36" s="401"/>
      <c r="D36" s="401"/>
      <c r="E36" s="401"/>
      <c r="F36" s="401"/>
      <c r="G36" s="401"/>
      <c r="H36" s="401"/>
      <c r="I36" s="401"/>
      <c r="J36" s="401"/>
      <c r="K36" s="401"/>
    </row>
    <row r="37" spans="1:300">
      <c r="A37" s="9" t="s">
        <v>1</v>
      </c>
      <c r="B37" s="9" t="s">
        <v>48</v>
      </c>
      <c r="C37" s="9" t="s">
        <v>49</v>
      </c>
      <c r="D37" s="9" t="s">
        <v>50</v>
      </c>
      <c r="E37" s="9" t="s">
        <v>51</v>
      </c>
      <c r="F37" s="9" t="s">
        <v>52</v>
      </c>
      <c r="G37" s="9" t="s">
        <v>53</v>
      </c>
      <c r="H37" s="9" t="s">
        <v>54</v>
      </c>
      <c r="I37" s="9" t="s">
        <v>55</v>
      </c>
      <c r="J37" s="9" t="s">
        <v>56</v>
      </c>
      <c r="K37" s="9" t="s">
        <v>57</v>
      </c>
    </row>
    <row r="38" spans="1:300">
      <c r="A38" s="4" t="s">
        <v>58</v>
      </c>
      <c r="B38" s="4" t="s">
        <v>59</v>
      </c>
      <c r="C38" s="4" t="s">
        <v>59</v>
      </c>
      <c r="D38" s="4" t="s">
        <v>60</v>
      </c>
      <c r="E38" s="3">
        <v>153926</v>
      </c>
      <c r="F38" s="3">
        <v>-5.2687583410493302</v>
      </c>
      <c r="G38" s="3">
        <v>149622</v>
      </c>
      <c r="H38" s="5">
        <v>36</v>
      </c>
      <c r="I38" s="4" t="s">
        <v>61</v>
      </c>
      <c r="J38" s="4" t="s">
        <v>40</v>
      </c>
      <c r="K38" s="3">
        <v>15.7929152855758</v>
      </c>
    </row>
    <row r="39" spans="1:300">
      <c r="A39" s="4" t="s">
        <v>58</v>
      </c>
      <c r="B39" s="4" t="s">
        <v>62</v>
      </c>
      <c r="C39" s="4" t="s">
        <v>63</v>
      </c>
      <c r="D39" s="4" t="s">
        <v>60</v>
      </c>
      <c r="E39" s="3">
        <v>159553.60000000001</v>
      </c>
      <c r="F39" s="3">
        <v>-1.80534387201933</v>
      </c>
      <c r="G39" s="3">
        <v>155932</v>
      </c>
      <c r="H39" s="5">
        <v>37</v>
      </c>
      <c r="I39" s="4" t="s">
        <v>64</v>
      </c>
      <c r="J39" s="4" t="s">
        <v>40</v>
      </c>
      <c r="K39" s="3">
        <v>13.1711779618159</v>
      </c>
    </row>
    <row r="40" spans="1:300">
      <c r="A40" s="4" t="s">
        <v>58</v>
      </c>
      <c r="B40" s="4" t="s">
        <v>59</v>
      </c>
      <c r="C40" s="4" t="s">
        <v>59</v>
      </c>
      <c r="D40" s="4" t="s">
        <v>65</v>
      </c>
      <c r="E40" s="3">
        <v>168195.7</v>
      </c>
      <c r="F40" s="3">
        <v>3.5132953672308198</v>
      </c>
      <c r="G40" s="3">
        <v>169484</v>
      </c>
      <c r="H40" s="5">
        <v>37</v>
      </c>
      <c r="I40" s="4" t="s">
        <v>64</v>
      </c>
      <c r="J40" s="4" t="s">
        <v>66</v>
      </c>
      <c r="K40" s="3">
        <v>10.808908559703401</v>
      </c>
    </row>
    <row r="41" spans="1:300" outlineLevel="1">
      <c r="A41" s="7" t="s">
        <v>1</v>
      </c>
      <c r="B41" s="7" t="s">
        <v>67</v>
      </c>
      <c r="C41" s="7" t="s">
        <v>1</v>
      </c>
      <c r="D41" s="7" t="s">
        <v>1</v>
      </c>
      <c r="E41" s="6">
        <v>168196</v>
      </c>
      <c r="F41" s="6" t="s">
        <v>1</v>
      </c>
      <c r="G41" s="6" t="s">
        <v>40</v>
      </c>
      <c r="H41" s="8">
        <v>37</v>
      </c>
      <c r="I41" s="7" t="s">
        <v>64</v>
      </c>
      <c r="J41" s="7" t="s">
        <v>40</v>
      </c>
      <c r="K41" s="6" t="s">
        <v>1</v>
      </c>
    </row>
    <row r="42" spans="1:300">
      <c r="A42" s="4" t="s">
        <v>58</v>
      </c>
      <c r="B42" s="4" t="s">
        <v>59</v>
      </c>
      <c r="C42" s="4" t="s">
        <v>59</v>
      </c>
      <c r="D42" s="4" t="s">
        <v>65</v>
      </c>
      <c r="E42" s="3">
        <v>162080.5</v>
      </c>
      <c r="F42" s="3">
        <v>-0.25020455476297199</v>
      </c>
      <c r="G42" s="3">
        <v>166999</v>
      </c>
      <c r="H42" s="5">
        <v>36</v>
      </c>
      <c r="I42" s="4" t="s">
        <v>61</v>
      </c>
      <c r="J42" s="4" t="s">
        <v>40</v>
      </c>
      <c r="K42" s="3">
        <v>10.7462561565247</v>
      </c>
    </row>
    <row r="43" spans="1:300" outlineLevel="1">
      <c r="A43" s="7" t="s">
        <v>1</v>
      </c>
      <c r="B43" s="7" t="s">
        <v>67</v>
      </c>
      <c r="C43" s="7" t="s">
        <v>1</v>
      </c>
      <c r="D43" s="7" t="s">
        <v>1</v>
      </c>
      <c r="E43" s="6">
        <v>165621</v>
      </c>
      <c r="F43" s="6" t="s">
        <v>1</v>
      </c>
      <c r="G43" s="6" t="s">
        <v>40</v>
      </c>
      <c r="H43" s="8">
        <v>127</v>
      </c>
      <c r="I43" s="7" t="s">
        <v>68</v>
      </c>
      <c r="J43" s="7" t="s">
        <v>40</v>
      </c>
      <c r="K43" s="6" t="s">
        <v>1</v>
      </c>
    </row>
    <row r="44" spans="1:300">
      <c r="A44" s="4" t="s">
        <v>58</v>
      </c>
      <c r="B44" s="4" t="s">
        <v>69</v>
      </c>
      <c r="C44" s="4" t="s">
        <v>70</v>
      </c>
      <c r="D44" s="4" t="s">
        <v>71</v>
      </c>
      <c r="E44" s="3">
        <v>164263</v>
      </c>
      <c r="F44" s="3">
        <v>1.09297940974374</v>
      </c>
      <c r="G44" s="3">
        <v>166190</v>
      </c>
      <c r="H44" s="5">
        <v>29</v>
      </c>
      <c r="I44" s="4" t="s">
        <v>72</v>
      </c>
      <c r="J44" s="4" t="s">
        <v>40</v>
      </c>
      <c r="K44" s="3">
        <v>10.307367213949099</v>
      </c>
    </row>
    <row r="45" spans="1:300">
      <c r="A45" s="4" t="s">
        <v>58</v>
      </c>
      <c r="B45" s="4" t="s">
        <v>59</v>
      </c>
      <c r="C45" s="4" t="s">
        <v>59</v>
      </c>
      <c r="D45" s="4" t="s">
        <v>71</v>
      </c>
      <c r="E45" s="3">
        <v>166518</v>
      </c>
      <c r="F45" s="3">
        <v>2.4807823146521599</v>
      </c>
      <c r="G45" s="3">
        <v>164461</v>
      </c>
      <c r="H45" s="5">
        <v>33</v>
      </c>
      <c r="I45" s="4" t="s">
        <v>73</v>
      </c>
      <c r="J45" s="4" t="s">
        <v>74</v>
      </c>
      <c r="K45" s="3">
        <v>9.3772447760136295</v>
      </c>
    </row>
    <row r="46" spans="1:300" outlineLevel="1">
      <c r="A46" s="7" t="s">
        <v>1</v>
      </c>
      <c r="B46" s="7" t="s">
        <v>67</v>
      </c>
      <c r="C46" s="7" t="s">
        <v>1</v>
      </c>
      <c r="D46" s="7" t="s">
        <v>1</v>
      </c>
      <c r="E46" s="6">
        <v>166518</v>
      </c>
      <c r="F46" s="6" t="s">
        <v>1</v>
      </c>
      <c r="G46" s="6" t="s">
        <v>40</v>
      </c>
      <c r="H46" s="8">
        <v>33</v>
      </c>
      <c r="I46" s="7" t="s">
        <v>73</v>
      </c>
      <c r="J46" s="7" t="s">
        <v>40</v>
      </c>
      <c r="K46" s="6" t="s">
        <v>1</v>
      </c>
    </row>
    <row r="47" spans="1:300">
      <c r="A47" s="4" t="s">
        <v>58</v>
      </c>
      <c r="B47" s="4" t="s">
        <v>75</v>
      </c>
      <c r="C47" s="4" t="s">
        <v>76</v>
      </c>
      <c r="D47" s="4" t="s">
        <v>71</v>
      </c>
      <c r="E47" s="3">
        <v>162079</v>
      </c>
      <c r="F47" s="3">
        <v>-0.25112770525404199</v>
      </c>
      <c r="G47" s="3">
        <v>170796</v>
      </c>
      <c r="H47" s="5">
        <v>32</v>
      </c>
      <c r="I47" s="4" t="s">
        <v>77</v>
      </c>
      <c r="J47" s="4" t="s">
        <v>40</v>
      </c>
      <c r="K47" s="3">
        <v>10.6030736721395</v>
      </c>
    </row>
    <row r="48" spans="1:300" outlineLevel="1">
      <c r="A48" s="7" t="s">
        <v>1</v>
      </c>
      <c r="B48" s="7" t="s">
        <v>67</v>
      </c>
      <c r="C48" s="7" t="s">
        <v>1</v>
      </c>
      <c r="D48" s="7" t="s">
        <v>1</v>
      </c>
      <c r="E48" s="6">
        <v>162000</v>
      </c>
      <c r="F48" s="6" t="s">
        <v>1</v>
      </c>
      <c r="G48" s="6" t="s">
        <v>40</v>
      </c>
      <c r="H48" s="8">
        <v>32</v>
      </c>
      <c r="I48" s="7" t="s">
        <v>77</v>
      </c>
      <c r="J48" s="7" t="s">
        <v>40</v>
      </c>
      <c r="K48" s="6" t="s">
        <v>1</v>
      </c>
    </row>
    <row r="49" spans="1:300" outlineLevel="1">
      <c r="A49" s="7" t="s">
        <v>1</v>
      </c>
      <c r="B49" s="7" t="s">
        <v>78</v>
      </c>
      <c r="C49" s="7" t="s">
        <v>1</v>
      </c>
      <c r="D49" s="7" t="s">
        <v>1</v>
      </c>
      <c r="E49" s="6">
        <v>10143</v>
      </c>
      <c r="F49" s="6" t="s">
        <v>1</v>
      </c>
      <c r="G49" s="6" t="s">
        <v>40</v>
      </c>
      <c r="H49" s="8">
        <v>32</v>
      </c>
      <c r="I49" s="7" t="s">
        <v>77</v>
      </c>
      <c r="J49" s="7" t="s">
        <v>40</v>
      </c>
      <c r="K49" s="6" t="s">
        <v>1</v>
      </c>
    </row>
    <row r="50" spans="1:300" outlineLevel="1">
      <c r="A50" s="7" t="s">
        <v>1</v>
      </c>
      <c r="B50" s="7" t="s">
        <v>79</v>
      </c>
      <c r="C50" s="7" t="s">
        <v>1</v>
      </c>
      <c r="D50" s="7" t="s">
        <v>1</v>
      </c>
      <c r="E50" s="6">
        <v>3</v>
      </c>
      <c r="F50" s="6" t="s">
        <v>1</v>
      </c>
      <c r="G50" s="6" t="s">
        <v>40</v>
      </c>
      <c r="H50" s="8">
        <v>117</v>
      </c>
      <c r="I50" s="7" t="s">
        <v>80</v>
      </c>
      <c r="J50" s="7" t="s">
        <v>40</v>
      </c>
      <c r="K50" s="6" t="s">
        <v>1</v>
      </c>
    </row>
    <row r="51" spans="1:300">
      <c r="A51" s="4" t="s">
        <v>58</v>
      </c>
      <c r="B51" s="4" t="s">
        <v>59</v>
      </c>
      <c r="C51" s="4" t="s">
        <v>59</v>
      </c>
      <c r="D51" s="4" t="s">
        <v>71</v>
      </c>
      <c r="E51" s="3">
        <v>162949.70000000001</v>
      </c>
      <c r="F51" s="3">
        <v>0.284730383129008</v>
      </c>
      <c r="G51" s="3">
        <v>164503.62</v>
      </c>
      <c r="H51" s="5">
        <v>36</v>
      </c>
      <c r="I51" s="4" t="s">
        <v>61</v>
      </c>
      <c r="J51" s="4" t="s">
        <v>81</v>
      </c>
      <c r="K51" s="3">
        <v>5.0555174379837897</v>
      </c>
    </row>
    <row r="52" spans="1:300">
      <c r="A52" s="4" t="s">
        <v>58</v>
      </c>
      <c r="B52" s="4" t="s">
        <v>82</v>
      </c>
      <c r="C52" s="4" t="s">
        <v>83</v>
      </c>
      <c r="D52" s="4" t="s">
        <v>71</v>
      </c>
      <c r="E52" s="3">
        <v>164000</v>
      </c>
      <c r="F52" s="3">
        <v>0.93112035697614803</v>
      </c>
      <c r="G52" s="3">
        <v>171565</v>
      </c>
      <c r="H52" s="5">
        <v>36</v>
      </c>
      <c r="I52" s="4" t="s">
        <v>61</v>
      </c>
      <c r="J52" s="4" t="s">
        <v>40</v>
      </c>
      <c r="K52" s="3">
        <v>5.0555174379837897</v>
      </c>
    </row>
    <row r="53" spans="1:300" outlineLevel="1">
      <c r="A53" s="7" t="s">
        <v>1</v>
      </c>
      <c r="B53" s="7" t="s">
        <v>67</v>
      </c>
      <c r="C53" s="7" t="s">
        <v>1</v>
      </c>
      <c r="D53" s="7" t="s">
        <v>1</v>
      </c>
      <c r="E53" s="6">
        <v>163779</v>
      </c>
      <c r="F53" s="6" t="s">
        <v>1</v>
      </c>
      <c r="G53" s="6" t="s">
        <v>40</v>
      </c>
      <c r="H53" s="8">
        <v>36</v>
      </c>
      <c r="I53" s="7" t="s">
        <v>61</v>
      </c>
      <c r="J53" s="7" t="s">
        <v>40</v>
      </c>
      <c r="K53" s="6" t="s">
        <v>1</v>
      </c>
    </row>
    <row r="54" spans="1:300" outlineLevel="1">
      <c r="A54" s="7" t="s">
        <v>1</v>
      </c>
      <c r="B54" s="7" t="s">
        <v>78</v>
      </c>
      <c r="C54" s="7" t="s">
        <v>1</v>
      </c>
      <c r="D54" s="7" t="s">
        <v>1</v>
      </c>
      <c r="E54" s="6">
        <v>10250</v>
      </c>
      <c r="F54" s="6" t="s">
        <v>1</v>
      </c>
      <c r="G54" s="6" t="s">
        <v>40</v>
      </c>
      <c r="H54" s="8">
        <v>36</v>
      </c>
      <c r="I54" s="7" t="s">
        <v>61</v>
      </c>
      <c r="J54" s="7" t="s">
        <v>40</v>
      </c>
      <c r="K54" s="6" t="s">
        <v>1</v>
      </c>
    </row>
    <row r="55" spans="1:300" outlineLevel="1">
      <c r="A55" s="7" t="s">
        <v>1</v>
      </c>
      <c r="B55" s="7" t="s">
        <v>79</v>
      </c>
      <c r="C55" s="7" t="s">
        <v>1</v>
      </c>
      <c r="D55" s="7" t="s">
        <v>1</v>
      </c>
      <c r="E55" s="6">
        <v>92</v>
      </c>
      <c r="F55" s="6" t="s">
        <v>1</v>
      </c>
      <c r="G55" s="6" t="s">
        <v>40</v>
      </c>
      <c r="H55" s="8">
        <v>36</v>
      </c>
      <c r="I55" s="7" t="s">
        <v>61</v>
      </c>
      <c r="J55" s="7" t="s">
        <v>40</v>
      </c>
      <c r="K55" s="6" t="s">
        <v>1</v>
      </c>
    </row>
    <row r="56" spans="1:300">
      <c r="A56" s="4" t="s">
        <v>58</v>
      </c>
      <c r="B56" s="4" t="s">
        <v>59</v>
      </c>
      <c r="C56" s="4" t="s">
        <v>59</v>
      </c>
      <c r="D56" s="4" t="s">
        <v>84</v>
      </c>
      <c r="E56" s="3">
        <v>161305</v>
      </c>
      <c r="F56" s="3">
        <v>-0.72747335864611296</v>
      </c>
      <c r="G56" s="3">
        <v>162266</v>
      </c>
      <c r="H56" s="5">
        <v>36</v>
      </c>
      <c r="I56" s="4" t="s">
        <v>61</v>
      </c>
      <c r="J56" s="4" t="s">
        <v>40</v>
      </c>
      <c r="K56" s="3">
        <v>9.0820214983104801</v>
      </c>
    </row>
    <row r="57" spans="1:300" outlineLevel="1">
      <c r="A57" s="7" t="s">
        <v>1</v>
      </c>
      <c r="B57" s="7" t="s">
        <v>67</v>
      </c>
      <c r="C57" s="7" t="s">
        <v>1</v>
      </c>
      <c r="D57" s="7" t="s">
        <v>1</v>
      </c>
      <c r="E57" s="6">
        <v>161304</v>
      </c>
      <c r="F57" s="6" t="s">
        <v>1</v>
      </c>
      <c r="G57" s="6" t="s">
        <v>40</v>
      </c>
      <c r="H57" s="8">
        <v>36</v>
      </c>
      <c r="I57" s="7" t="s">
        <v>61</v>
      </c>
      <c r="J57" s="7" t="s">
        <v>40</v>
      </c>
      <c r="K57" s="6" t="s">
        <v>1</v>
      </c>
    </row>
    <row r="58" spans="1:300">
      <c r="A58" s="13" t="s">
        <v>1</v>
      </c>
      <c r="B58" s="13" t="s">
        <v>14</v>
      </c>
      <c r="C58" s="13" t="s">
        <v>1</v>
      </c>
      <c r="D58" s="13" t="s">
        <v>1</v>
      </c>
      <c r="E58" s="12">
        <v>161832.30710999999</v>
      </c>
      <c r="F58" s="12">
        <v>-0.40300000000000002</v>
      </c>
      <c r="G58" s="12" t="s">
        <v>40</v>
      </c>
      <c r="H58" s="12" t="s">
        <v>1</v>
      </c>
      <c r="I58" s="13" t="s">
        <v>1</v>
      </c>
      <c r="J58" s="13" t="s">
        <v>1</v>
      </c>
      <c r="K58" s="12" t="s">
        <v>1</v>
      </c>
    </row>
    <row r="59" spans="1:300">
      <c r="A59" s="11" t="s">
        <v>1</v>
      </c>
      <c r="B59" s="11" t="s">
        <v>15</v>
      </c>
      <c r="C59" s="11" t="s">
        <v>1</v>
      </c>
      <c r="D59" s="11" t="s">
        <v>1</v>
      </c>
      <c r="E59" s="10">
        <v>162487.04999999999</v>
      </c>
      <c r="F59" s="10" t="s">
        <v>1</v>
      </c>
      <c r="G59" s="10" t="s">
        <v>40</v>
      </c>
      <c r="H59" s="10" t="s">
        <v>1</v>
      </c>
      <c r="I59" s="11" t="s">
        <v>1</v>
      </c>
      <c r="J59" s="11" t="s">
        <v>1</v>
      </c>
      <c r="K59" s="10" t="s">
        <v>1</v>
      </c>
    </row>
    <row r="60" spans="1:300">
      <c r="A60" s="339" t="s">
        <v>1</v>
      </c>
      <c r="B60" s="339"/>
      <c r="C60" s="339"/>
      <c r="D60" s="339"/>
      <c r="E60" s="339"/>
      <c r="F60" s="339"/>
      <c r="G60" s="339"/>
      <c r="H60" s="339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39"/>
      <c r="U60" s="339"/>
      <c r="V60" s="339"/>
      <c r="W60" s="339"/>
      <c r="X60" s="339"/>
      <c r="Y60" s="339"/>
      <c r="Z60" s="339"/>
      <c r="AA60" s="339"/>
      <c r="AB60" s="339"/>
      <c r="AC60" s="339"/>
      <c r="AD60" s="339"/>
      <c r="AE60" s="339"/>
      <c r="AF60" s="339"/>
      <c r="AG60" s="339"/>
      <c r="AH60" s="339"/>
      <c r="AI60" s="339"/>
      <c r="AJ60" s="339"/>
      <c r="AK60" s="339"/>
      <c r="AL60" s="339"/>
      <c r="AM60" s="339"/>
      <c r="AN60" s="339"/>
      <c r="AO60" s="339"/>
      <c r="AP60" s="339"/>
      <c r="AQ60" s="339"/>
      <c r="AR60" s="339"/>
      <c r="AS60" s="339"/>
      <c r="AT60" s="339"/>
      <c r="AU60" s="339"/>
      <c r="AV60" s="339"/>
      <c r="AW60" s="339"/>
      <c r="AX60" s="339"/>
      <c r="AY60" s="339"/>
      <c r="AZ60" s="339"/>
      <c r="BA60" s="339"/>
      <c r="BB60" s="339"/>
      <c r="BC60" s="339"/>
      <c r="BD60" s="339"/>
      <c r="BE60" s="339"/>
      <c r="BF60" s="339"/>
      <c r="BG60" s="339"/>
      <c r="BH60" s="339"/>
      <c r="BI60" s="339"/>
      <c r="BJ60" s="339"/>
      <c r="BK60" s="339"/>
      <c r="BL60" s="339"/>
      <c r="BM60" s="339"/>
      <c r="BN60" s="339"/>
      <c r="BO60" s="339"/>
      <c r="BP60" s="339"/>
      <c r="BQ60" s="339"/>
      <c r="BR60" s="339"/>
      <c r="BS60" s="339"/>
      <c r="BT60" s="339"/>
      <c r="BU60" s="339"/>
      <c r="BV60" s="339"/>
      <c r="BW60" s="339"/>
      <c r="BX60" s="339"/>
      <c r="BY60" s="339"/>
      <c r="BZ60" s="339"/>
      <c r="CA60" s="339"/>
      <c r="CB60" s="339"/>
      <c r="CC60" s="339"/>
      <c r="CD60" s="339"/>
      <c r="CE60" s="339"/>
      <c r="CF60" s="339"/>
      <c r="CG60" s="339"/>
      <c r="CH60" s="339"/>
      <c r="CI60" s="339"/>
      <c r="CJ60" s="339"/>
      <c r="CK60" s="339"/>
      <c r="CL60" s="339"/>
      <c r="CM60" s="339"/>
      <c r="CN60" s="339"/>
      <c r="CO60" s="339"/>
      <c r="CP60" s="339"/>
      <c r="CQ60" s="339"/>
      <c r="CR60" s="339"/>
      <c r="CS60" s="339"/>
      <c r="CT60" s="339"/>
      <c r="CU60" s="339"/>
      <c r="CV60" s="339"/>
      <c r="CW60" s="339"/>
      <c r="CX60" s="339"/>
      <c r="CY60" s="339"/>
      <c r="CZ60" s="339"/>
      <c r="DA60" s="339"/>
      <c r="DB60" s="339"/>
      <c r="DC60" s="339"/>
      <c r="DD60" s="339"/>
      <c r="DE60" s="339"/>
      <c r="DF60" s="339"/>
      <c r="DG60" s="339"/>
      <c r="DH60" s="339"/>
      <c r="DI60" s="339"/>
      <c r="DJ60" s="339"/>
      <c r="DK60" s="339"/>
      <c r="DL60" s="339"/>
      <c r="DM60" s="339"/>
      <c r="DN60" s="339"/>
      <c r="DO60" s="339"/>
      <c r="DP60" s="339"/>
      <c r="DQ60" s="339"/>
      <c r="DR60" s="339"/>
      <c r="DS60" s="339"/>
      <c r="DT60" s="339"/>
      <c r="DU60" s="339"/>
      <c r="DV60" s="339"/>
      <c r="DW60" s="339"/>
      <c r="DX60" s="339"/>
      <c r="DY60" s="339"/>
      <c r="DZ60" s="339"/>
      <c r="EA60" s="339"/>
      <c r="EB60" s="339"/>
      <c r="EC60" s="339"/>
      <c r="ED60" s="339"/>
      <c r="EE60" s="339"/>
      <c r="EF60" s="339"/>
      <c r="EG60" s="339"/>
      <c r="EH60" s="339"/>
      <c r="EI60" s="339"/>
      <c r="EJ60" s="339"/>
      <c r="EK60" s="339"/>
      <c r="EL60" s="339"/>
      <c r="EM60" s="339"/>
      <c r="EN60" s="339"/>
      <c r="EO60" s="339"/>
      <c r="EP60" s="339"/>
      <c r="EQ60" s="339"/>
      <c r="ER60" s="339"/>
      <c r="ES60" s="339"/>
      <c r="ET60" s="339"/>
      <c r="EU60" s="339"/>
      <c r="EV60" s="339"/>
      <c r="EW60" s="339"/>
      <c r="EX60" s="339"/>
      <c r="EY60" s="339"/>
      <c r="EZ60" s="339"/>
      <c r="FA60" s="339"/>
      <c r="FB60" s="339"/>
      <c r="FC60" s="339"/>
      <c r="FD60" s="339"/>
      <c r="FE60" s="339"/>
      <c r="FF60" s="339"/>
      <c r="FG60" s="339"/>
      <c r="FH60" s="339"/>
      <c r="FI60" s="339"/>
      <c r="FJ60" s="339"/>
      <c r="FK60" s="339"/>
      <c r="FL60" s="339"/>
      <c r="FM60" s="339"/>
      <c r="FN60" s="339"/>
      <c r="FO60" s="339"/>
      <c r="FP60" s="339"/>
      <c r="FQ60" s="339"/>
      <c r="FR60" s="339"/>
      <c r="FS60" s="339"/>
      <c r="FT60" s="339"/>
      <c r="FU60" s="339"/>
      <c r="FV60" s="339"/>
      <c r="FW60" s="339"/>
      <c r="FX60" s="339"/>
      <c r="FY60" s="339"/>
      <c r="FZ60" s="339"/>
      <c r="GA60" s="339"/>
      <c r="GB60" s="339"/>
      <c r="GC60" s="339"/>
      <c r="GD60" s="339"/>
      <c r="GE60" s="339"/>
      <c r="GF60" s="339"/>
      <c r="GG60" s="339"/>
      <c r="GH60" s="339"/>
      <c r="GI60" s="339"/>
      <c r="GJ60" s="339"/>
      <c r="GK60" s="339"/>
      <c r="GL60" s="339"/>
      <c r="GM60" s="339"/>
      <c r="GN60" s="339"/>
      <c r="GO60" s="339"/>
      <c r="GP60" s="339"/>
      <c r="GQ60" s="339"/>
      <c r="GR60" s="339"/>
      <c r="GS60" s="339"/>
      <c r="GT60" s="339"/>
      <c r="GU60" s="339"/>
      <c r="GV60" s="339"/>
      <c r="GW60" s="339"/>
      <c r="GX60" s="339"/>
      <c r="GY60" s="339"/>
      <c r="GZ60" s="339"/>
      <c r="HA60" s="339"/>
      <c r="HB60" s="339"/>
      <c r="HC60" s="339"/>
      <c r="HD60" s="339"/>
      <c r="HE60" s="339"/>
      <c r="HF60" s="339"/>
      <c r="HG60" s="339"/>
      <c r="HH60" s="339"/>
      <c r="HI60" s="339"/>
      <c r="HJ60" s="339"/>
      <c r="HK60" s="339"/>
      <c r="HL60" s="339"/>
      <c r="HM60" s="339"/>
      <c r="HN60" s="339"/>
      <c r="HO60" s="339"/>
      <c r="HP60" s="339"/>
      <c r="HQ60" s="339"/>
      <c r="HR60" s="339"/>
      <c r="HS60" s="339"/>
      <c r="HT60" s="339"/>
      <c r="HU60" s="339"/>
      <c r="HV60" s="339"/>
      <c r="HW60" s="339"/>
      <c r="HX60" s="339"/>
      <c r="HY60" s="339"/>
      <c r="HZ60" s="339"/>
      <c r="IA60" s="339"/>
      <c r="IB60" s="339"/>
      <c r="IC60" s="339"/>
      <c r="ID60" s="339"/>
      <c r="IE60" s="339"/>
      <c r="IF60" s="339"/>
      <c r="IG60" s="339"/>
      <c r="IH60" s="339"/>
      <c r="II60" s="339"/>
      <c r="IJ60" s="339"/>
      <c r="IK60" s="339"/>
      <c r="IL60" s="339"/>
      <c r="IM60" s="339"/>
      <c r="IN60" s="339"/>
      <c r="IO60" s="339"/>
      <c r="IP60" s="339"/>
      <c r="IQ60" s="339"/>
      <c r="IR60" s="339"/>
      <c r="IS60" s="339"/>
      <c r="IT60" s="339"/>
      <c r="IU60" s="339"/>
      <c r="IV60" s="339"/>
      <c r="IW60" s="339"/>
      <c r="IX60" s="339"/>
      <c r="IY60" s="339"/>
      <c r="IZ60" s="339"/>
      <c r="JA60" s="339"/>
      <c r="JB60" s="339"/>
      <c r="JC60" s="339"/>
      <c r="JD60" s="339"/>
      <c r="JE60" s="339"/>
      <c r="JF60" s="339"/>
      <c r="JG60" s="339"/>
      <c r="JH60" s="339"/>
      <c r="JI60" s="339"/>
      <c r="JJ60" s="339"/>
      <c r="JK60" s="339"/>
      <c r="JL60" s="339"/>
      <c r="JM60" s="339"/>
      <c r="JN60" s="339"/>
      <c r="JO60" s="339"/>
      <c r="JP60" s="339"/>
      <c r="JQ60" s="339"/>
      <c r="JR60" s="339"/>
      <c r="JS60" s="339"/>
      <c r="JT60" s="339"/>
      <c r="JU60" s="339"/>
      <c r="JV60" s="339"/>
      <c r="JW60" s="339"/>
      <c r="JX60" s="339"/>
      <c r="JY60" s="339"/>
      <c r="JZ60" s="339"/>
      <c r="KA60" s="339"/>
      <c r="KB60" s="339"/>
      <c r="KC60" s="339"/>
      <c r="KD60" s="339"/>
      <c r="KE60" s="339"/>
      <c r="KF60" s="339"/>
      <c r="KG60" s="339"/>
      <c r="KH60" s="339"/>
      <c r="KI60" s="339"/>
      <c r="KJ60" s="339"/>
      <c r="KK60" s="339"/>
      <c r="KL60" s="339"/>
      <c r="KM60" s="339"/>
      <c r="KN60" s="339"/>
    </row>
    <row r="61" spans="1:300">
      <c r="A61" s="1" t="s">
        <v>1</v>
      </c>
      <c r="B61" s="340" t="s">
        <v>85</v>
      </c>
      <c r="C61" s="340"/>
      <c r="D61" s="340"/>
      <c r="E61" s="340"/>
    </row>
    <row r="62" spans="1:300">
      <c r="A62" s="339" t="s">
        <v>1</v>
      </c>
      <c r="B62" s="339"/>
      <c r="C62" s="339"/>
      <c r="D62" s="339"/>
      <c r="E62" s="339"/>
      <c r="F62" s="339"/>
      <c r="G62" s="339"/>
      <c r="H62" s="339"/>
      <c r="I62" s="339"/>
      <c r="J62" s="339"/>
      <c r="K62" s="339"/>
      <c r="L62" s="339"/>
      <c r="M62" s="339"/>
      <c r="N62" s="339"/>
      <c r="O62" s="339"/>
      <c r="P62" s="339"/>
      <c r="Q62" s="339"/>
      <c r="R62" s="339"/>
      <c r="S62" s="339"/>
      <c r="T62" s="339"/>
      <c r="U62" s="339"/>
      <c r="V62" s="339"/>
      <c r="W62" s="339"/>
      <c r="X62" s="339"/>
      <c r="Y62" s="339"/>
      <c r="Z62" s="339"/>
      <c r="AA62" s="339"/>
      <c r="AB62" s="339"/>
      <c r="AC62" s="339"/>
      <c r="AD62" s="339"/>
      <c r="AE62" s="339"/>
      <c r="AF62" s="339"/>
      <c r="AG62" s="339"/>
      <c r="AH62" s="339"/>
      <c r="AI62" s="339"/>
      <c r="AJ62" s="339"/>
      <c r="AK62" s="339"/>
      <c r="AL62" s="339"/>
      <c r="AM62" s="339"/>
      <c r="AN62" s="339"/>
      <c r="AO62" s="339"/>
      <c r="AP62" s="339"/>
      <c r="AQ62" s="339"/>
      <c r="AR62" s="339"/>
      <c r="AS62" s="339"/>
      <c r="AT62" s="339"/>
      <c r="AU62" s="339"/>
      <c r="AV62" s="339"/>
      <c r="AW62" s="339"/>
      <c r="AX62" s="339"/>
      <c r="AY62" s="339"/>
      <c r="AZ62" s="339"/>
      <c r="BA62" s="339"/>
      <c r="BB62" s="339"/>
      <c r="BC62" s="339"/>
      <c r="BD62" s="339"/>
      <c r="BE62" s="339"/>
      <c r="BF62" s="339"/>
      <c r="BG62" s="339"/>
      <c r="BH62" s="339"/>
      <c r="BI62" s="339"/>
      <c r="BJ62" s="339"/>
      <c r="BK62" s="339"/>
      <c r="BL62" s="339"/>
      <c r="BM62" s="339"/>
      <c r="BN62" s="339"/>
      <c r="BO62" s="339"/>
      <c r="BP62" s="339"/>
      <c r="BQ62" s="339"/>
      <c r="BR62" s="339"/>
      <c r="BS62" s="339"/>
      <c r="BT62" s="339"/>
      <c r="BU62" s="339"/>
      <c r="BV62" s="339"/>
      <c r="BW62" s="339"/>
      <c r="BX62" s="339"/>
      <c r="BY62" s="339"/>
      <c r="BZ62" s="339"/>
      <c r="CA62" s="339"/>
      <c r="CB62" s="339"/>
      <c r="CC62" s="339"/>
      <c r="CD62" s="339"/>
      <c r="CE62" s="339"/>
      <c r="CF62" s="339"/>
      <c r="CG62" s="339"/>
      <c r="CH62" s="339"/>
      <c r="CI62" s="339"/>
      <c r="CJ62" s="339"/>
      <c r="CK62" s="339"/>
      <c r="CL62" s="339"/>
      <c r="CM62" s="339"/>
      <c r="CN62" s="339"/>
      <c r="CO62" s="339"/>
      <c r="CP62" s="339"/>
      <c r="CQ62" s="339"/>
      <c r="CR62" s="339"/>
      <c r="CS62" s="339"/>
      <c r="CT62" s="339"/>
      <c r="CU62" s="339"/>
      <c r="CV62" s="339"/>
      <c r="CW62" s="339"/>
      <c r="CX62" s="339"/>
      <c r="CY62" s="339"/>
      <c r="CZ62" s="339"/>
      <c r="DA62" s="339"/>
      <c r="DB62" s="339"/>
      <c r="DC62" s="339"/>
      <c r="DD62" s="339"/>
      <c r="DE62" s="339"/>
      <c r="DF62" s="339"/>
      <c r="DG62" s="339"/>
      <c r="DH62" s="339"/>
      <c r="DI62" s="339"/>
      <c r="DJ62" s="339"/>
      <c r="DK62" s="339"/>
      <c r="DL62" s="339"/>
      <c r="DM62" s="339"/>
      <c r="DN62" s="339"/>
      <c r="DO62" s="339"/>
      <c r="DP62" s="339"/>
      <c r="DQ62" s="339"/>
      <c r="DR62" s="339"/>
      <c r="DS62" s="339"/>
      <c r="DT62" s="339"/>
      <c r="DU62" s="339"/>
      <c r="DV62" s="339"/>
      <c r="DW62" s="339"/>
      <c r="DX62" s="339"/>
      <c r="DY62" s="339"/>
      <c r="DZ62" s="339"/>
      <c r="EA62" s="339"/>
      <c r="EB62" s="339"/>
      <c r="EC62" s="339"/>
      <c r="ED62" s="339"/>
      <c r="EE62" s="339"/>
      <c r="EF62" s="339"/>
      <c r="EG62" s="339"/>
      <c r="EH62" s="339"/>
      <c r="EI62" s="339"/>
      <c r="EJ62" s="339"/>
      <c r="EK62" s="339"/>
      <c r="EL62" s="339"/>
      <c r="EM62" s="339"/>
      <c r="EN62" s="339"/>
      <c r="EO62" s="339"/>
      <c r="EP62" s="339"/>
      <c r="EQ62" s="339"/>
      <c r="ER62" s="339"/>
      <c r="ES62" s="339"/>
      <c r="ET62" s="339"/>
      <c r="EU62" s="339"/>
      <c r="EV62" s="339"/>
      <c r="EW62" s="339"/>
      <c r="EX62" s="339"/>
      <c r="EY62" s="339"/>
      <c r="EZ62" s="339"/>
      <c r="FA62" s="339"/>
      <c r="FB62" s="339"/>
      <c r="FC62" s="339"/>
      <c r="FD62" s="339"/>
      <c r="FE62" s="339"/>
      <c r="FF62" s="339"/>
      <c r="FG62" s="339"/>
      <c r="FH62" s="339"/>
      <c r="FI62" s="339"/>
      <c r="FJ62" s="339"/>
      <c r="FK62" s="339"/>
      <c r="FL62" s="339"/>
      <c r="FM62" s="339"/>
      <c r="FN62" s="339"/>
      <c r="FO62" s="339"/>
      <c r="FP62" s="339"/>
      <c r="FQ62" s="339"/>
      <c r="FR62" s="339"/>
      <c r="FS62" s="339"/>
      <c r="FT62" s="339"/>
      <c r="FU62" s="339"/>
      <c r="FV62" s="339"/>
      <c r="FW62" s="339"/>
      <c r="FX62" s="339"/>
      <c r="FY62" s="339"/>
      <c r="FZ62" s="339"/>
      <c r="GA62" s="339"/>
      <c r="GB62" s="339"/>
      <c r="GC62" s="339"/>
      <c r="GD62" s="339"/>
      <c r="GE62" s="339"/>
      <c r="GF62" s="339"/>
      <c r="GG62" s="339"/>
      <c r="GH62" s="339"/>
      <c r="GI62" s="339"/>
      <c r="GJ62" s="339"/>
      <c r="GK62" s="339"/>
      <c r="GL62" s="339"/>
      <c r="GM62" s="339"/>
      <c r="GN62" s="339"/>
      <c r="GO62" s="339"/>
      <c r="GP62" s="339"/>
      <c r="GQ62" s="339"/>
      <c r="GR62" s="339"/>
      <c r="GS62" s="339"/>
      <c r="GT62" s="339"/>
      <c r="GU62" s="339"/>
      <c r="GV62" s="339"/>
      <c r="GW62" s="339"/>
      <c r="GX62" s="339"/>
      <c r="GY62" s="339"/>
      <c r="GZ62" s="339"/>
      <c r="HA62" s="339"/>
      <c r="HB62" s="339"/>
      <c r="HC62" s="339"/>
      <c r="HD62" s="339"/>
      <c r="HE62" s="339"/>
      <c r="HF62" s="339"/>
      <c r="HG62" s="339"/>
      <c r="HH62" s="339"/>
      <c r="HI62" s="339"/>
      <c r="HJ62" s="339"/>
      <c r="HK62" s="339"/>
      <c r="HL62" s="339"/>
      <c r="HM62" s="339"/>
      <c r="HN62" s="339"/>
      <c r="HO62" s="339"/>
      <c r="HP62" s="339"/>
      <c r="HQ62" s="339"/>
      <c r="HR62" s="339"/>
      <c r="HS62" s="339"/>
      <c r="HT62" s="339"/>
      <c r="HU62" s="339"/>
      <c r="HV62" s="339"/>
      <c r="HW62" s="339"/>
      <c r="HX62" s="339"/>
      <c r="HY62" s="339"/>
      <c r="HZ62" s="339"/>
      <c r="IA62" s="339"/>
      <c r="IB62" s="339"/>
      <c r="IC62" s="339"/>
      <c r="ID62" s="339"/>
      <c r="IE62" s="339"/>
      <c r="IF62" s="339"/>
      <c r="IG62" s="339"/>
      <c r="IH62" s="339"/>
      <c r="II62" s="339"/>
      <c r="IJ62" s="339"/>
      <c r="IK62" s="339"/>
      <c r="IL62" s="339"/>
      <c r="IM62" s="339"/>
      <c r="IN62" s="339"/>
      <c r="IO62" s="339"/>
      <c r="IP62" s="339"/>
      <c r="IQ62" s="339"/>
      <c r="IR62" s="339"/>
      <c r="IS62" s="339"/>
      <c r="IT62" s="339"/>
      <c r="IU62" s="339"/>
      <c r="IV62" s="339"/>
      <c r="IW62" s="339"/>
      <c r="IX62" s="339"/>
      <c r="IY62" s="339"/>
      <c r="IZ62" s="339"/>
      <c r="JA62" s="339"/>
      <c r="JB62" s="339"/>
      <c r="JC62" s="339"/>
      <c r="JD62" s="339"/>
      <c r="JE62" s="339"/>
      <c r="JF62" s="339"/>
      <c r="JG62" s="339"/>
      <c r="JH62" s="339"/>
      <c r="JI62" s="339"/>
      <c r="JJ62" s="339"/>
      <c r="JK62" s="339"/>
      <c r="JL62" s="339"/>
      <c r="JM62" s="339"/>
      <c r="JN62" s="339"/>
      <c r="JO62" s="339"/>
      <c r="JP62" s="339"/>
      <c r="JQ62" s="339"/>
      <c r="JR62" s="339"/>
      <c r="JS62" s="339"/>
      <c r="JT62" s="339"/>
      <c r="JU62" s="339"/>
      <c r="JV62" s="339"/>
      <c r="JW62" s="339"/>
      <c r="JX62" s="339"/>
      <c r="JY62" s="339"/>
      <c r="JZ62" s="339"/>
      <c r="KA62" s="339"/>
      <c r="KB62" s="339"/>
      <c r="KC62" s="339"/>
      <c r="KD62" s="339"/>
      <c r="KE62" s="339"/>
      <c r="KF62" s="339"/>
      <c r="KG62" s="339"/>
      <c r="KH62" s="339"/>
      <c r="KI62" s="339"/>
      <c r="KJ62" s="339"/>
      <c r="KK62" s="339"/>
      <c r="KL62" s="339"/>
      <c r="KM62" s="339"/>
      <c r="KN62" s="339"/>
    </row>
    <row r="63" spans="1:300">
      <c r="A63" s="401" t="s">
        <v>86</v>
      </c>
      <c r="B63" s="401"/>
      <c r="C63" s="401"/>
      <c r="D63" s="401"/>
      <c r="E63" s="401"/>
      <c r="F63" s="401"/>
      <c r="G63" s="401"/>
      <c r="H63" s="401"/>
      <c r="I63" s="401"/>
      <c r="J63" s="401"/>
      <c r="K63" s="401"/>
    </row>
    <row r="64" spans="1:300">
      <c r="A64" s="9" t="s">
        <v>1</v>
      </c>
      <c r="B64" s="9" t="s">
        <v>48</v>
      </c>
      <c r="C64" s="9" t="s">
        <v>49</v>
      </c>
      <c r="D64" s="9" t="s">
        <v>50</v>
      </c>
      <c r="E64" s="9" t="s">
        <v>51</v>
      </c>
      <c r="F64" s="9" t="s">
        <v>52</v>
      </c>
      <c r="G64" s="9" t="s">
        <v>53</v>
      </c>
      <c r="H64" s="9" t="s">
        <v>54</v>
      </c>
      <c r="I64" s="9" t="s">
        <v>55</v>
      </c>
      <c r="J64" s="9" t="s">
        <v>56</v>
      </c>
      <c r="K64" s="9" t="s">
        <v>57</v>
      </c>
    </row>
    <row r="65" spans="1:300">
      <c r="A65" s="4" t="s">
        <v>87</v>
      </c>
      <c r="B65" s="4" t="s">
        <v>88</v>
      </c>
      <c r="C65" s="4" t="s">
        <v>89</v>
      </c>
      <c r="D65" s="4" t="s">
        <v>90</v>
      </c>
      <c r="E65" s="3">
        <v>174987</v>
      </c>
      <c r="F65" s="3">
        <v>7.6928899872328396</v>
      </c>
      <c r="G65" s="3">
        <v>171823</v>
      </c>
      <c r="H65" s="5">
        <v>34</v>
      </c>
      <c r="I65" s="4" t="s">
        <v>91</v>
      </c>
      <c r="J65" s="4" t="s">
        <v>92</v>
      </c>
      <c r="K65" s="3" t="s">
        <v>40</v>
      </c>
    </row>
    <row r="66" spans="1:300" outlineLevel="1">
      <c r="A66" s="7" t="s">
        <v>1</v>
      </c>
      <c r="B66" s="7" t="s">
        <v>67</v>
      </c>
      <c r="C66" s="7" t="s">
        <v>1</v>
      </c>
      <c r="D66" s="7" t="s">
        <v>1</v>
      </c>
      <c r="E66" s="6">
        <v>165280</v>
      </c>
      <c r="F66" s="6" t="s">
        <v>1</v>
      </c>
      <c r="G66" s="6" t="s">
        <v>40</v>
      </c>
      <c r="H66" s="8">
        <v>34</v>
      </c>
      <c r="I66" s="7" t="s">
        <v>91</v>
      </c>
      <c r="J66" s="7" t="s">
        <v>40</v>
      </c>
      <c r="K66" s="6" t="s">
        <v>1</v>
      </c>
    </row>
    <row r="67" spans="1:300" outlineLevel="1">
      <c r="A67" s="7" t="s">
        <v>1</v>
      </c>
      <c r="B67" s="7" t="s">
        <v>78</v>
      </c>
      <c r="C67" s="7" t="s">
        <v>1</v>
      </c>
      <c r="D67" s="7" t="s">
        <v>1</v>
      </c>
      <c r="E67" s="6">
        <v>9696</v>
      </c>
      <c r="F67" s="6" t="s">
        <v>1</v>
      </c>
      <c r="G67" s="6" t="s">
        <v>40</v>
      </c>
      <c r="H67" s="8">
        <v>34</v>
      </c>
      <c r="I67" s="7" t="s">
        <v>91</v>
      </c>
      <c r="J67" s="7" t="s">
        <v>40</v>
      </c>
      <c r="K67" s="6" t="s">
        <v>1</v>
      </c>
    </row>
    <row r="68" spans="1:300" outlineLevel="1">
      <c r="A68" s="7" t="s">
        <v>1</v>
      </c>
      <c r="B68" s="7" t="s">
        <v>79</v>
      </c>
      <c r="C68" s="7" t="s">
        <v>1</v>
      </c>
      <c r="D68" s="7" t="s">
        <v>1</v>
      </c>
      <c r="E68" s="6">
        <v>3</v>
      </c>
      <c r="F68" s="6" t="s">
        <v>1</v>
      </c>
      <c r="G68" s="6" t="s">
        <v>40</v>
      </c>
      <c r="H68" s="8">
        <v>34</v>
      </c>
      <c r="I68" s="7" t="s">
        <v>91</v>
      </c>
      <c r="J68" s="7" t="s">
        <v>40</v>
      </c>
      <c r="K68" s="6" t="s">
        <v>1</v>
      </c>
    </row>
    <row r="69" spans="1:300">
      <c r="A69" s="4" t="s">
        <v>87</v>
      </c>
      <c r="B69" s="4" t="s">
        <v>59</v>
      </c>
      <c r="C69" s="4" t="s">
        <v>59</v>
      </c>
      <c r="D69" s="4" t="s">
        <v>90</v>
      </c>
      <c r="E69" s="3">
        <v>170863.08600000001</v>
      </c>
      <c r="F69" s="3">
        <v>5.1548944977461399</v>
      </c>
      <c r="G69" s="3">
        <v>172158.39199999999</v>
      </c>
      <c r="H69" s="5">
        <v>36</v>
      </c>
      <c r="I69" s="4" t="s">
        <v>61</v>
      </c>
      <c r="J69" s="4" t="s">
        <v>40</v>
      </c>
      <c r="K69" s="3" t="s">
        <v>40</v>
      </c>
    </row>
    <row r="70" spans="1:300">
      <c r="A70" s="4" t="s">
        <v>87</v>
      </c>
      <c r="B70" s="4" t="s">
        <v>93</v>
      </c>
      <c r="C70" s="4" t="s">
        <v>94</v>
      </c>
      <c r="D70" s="4" t="s">
        <v>90</v>
      </c>
      <c r="E70" s="3" t="s">
        <v>59</v>
      </c>
      <c r="F70" s="3" t="s">
        <v>1</v>
      </c>
      <c r="G70" s="3" t="s">
        <v>59</v>
      </c>
      <c r="H70" s="5">
        <v>37</v>
      </c>
      <c r="I70" s="4" t="s">
        <v>64</v>
      </c>
      <c r="J70" s="4" t="s">
        <v>40</v>
      </c>
      <c r="K70" s="3" t="s">
        <v>40</v>
      </c>
    </row>
    <row r="71" spans="1:300">
      <c r="A71" s="4" t="s">
        <v>87</v>
      </c>
      <c r="B71" s="4" t="s">
        <v>59</v>
      </c>
      <c r="C71" s="4" t="s">
        <v>59</v>
      </c>
      <c r="D71" s="4" t="s">
        <v>65</v>
      </c>
      <c r="E71" s="3">
        <v>167988</v>
      </c>
      <c r="F71" s="3">
        <v>3.3854697959006699</v>
      </c>
      <c r="G71" s="3">
        <v>167398</v>
      </c>
      <c r="H71" s="5">
        <v>55</v>
      </c>
      <c r="I71" s="4" t="s">
        <v>95</v>
      </c>
      <c r="J71" s="4" t="s">
        <v>40</v>
      </c>
      <c r="K71" s="3" t="s">
        <v>40</v>
      </c>
    </row>
    <row r="72" spans="1:300" outlineLevel="1">
      <c r="A72" s="7" t="s">
        <v>1</v>
      </c>
      <c r="B72" s="7" t="s">
        <v>67</v>
      </c>
      <c r="C72" s="7" t="s">
        <v>1</v>
      </c>
      <c r="D72" s="7" t="s">
        <v>1</v>
      </c>
      <c r="E72" s="6">
        <v>162815</v>
      </c>
      <c r="F72" s="6" t="s">
        <v>1</v>
      </c>
      <c r="G72" s="6" t="s">
        <v>40</v>
      </c>
      <c r="H72" s="8">
        <v>186</v>
      </c>
      <c r="I72" s="7" t="s">
        <v>96</v>
      </c>
      <c r="J72" s="7" t="s">
        <v>40</v>
      </c>
      <c r="K72" s="6" t="s">
        <v>1</v>
      </c>
    </row>
    <row r="73" spans="1:300" outlineLevel="1">
      <c r="A73" s="7" t="s">
        <v>1</v>
      </c>
      <c r="B73" s="7" t="s">
        <v>78</v>
      </c>
      <c r="C73" s="7" t="s">
        <v>1</v>
      </c>
      <c r="D73" s="7" t="s">
        <v>1</v>
      </c>
      <c r="E73" s="6">
        <v>9828</v>
      </c>
      <c r="F73" s="6" t="s">
        <v>1</v>
      </c>
      <c r="G73" s="6" t="s">
        <v>40</v>
      </c>
      <c r="H73" s="8">
        <v>187</v>
      </c>
      <c r="I73" s="7" t="s">
        <v>97</v>
      </c>
      <c r="J73" s="7" t="s">
        <v>40</v>
      </c>
      <c r="K73" s="6" t="s">
        <v>1</v>
      </c>
    </row>
    <row r="74" spans="1:300">
      <c r="A74" s="4" t="s">
        <v>87</v>
      </c>
      <c r="B74" s="4" t="s">
        <v>59</v>
      </c>
      <c r="C74" s="4" t="s">
        <v>59</v>
      </c>
      <c r="D74" s="4" t="s">
        <v>71</v>
      </c>
      <c r="E74" s="3">
        <v>165410.79999999999</v>
      </c>
      <c r="F74" s="3">
        <v>1.7993741655104201</v>
      </c>
      <c r="G74" s="3">
        <v>166340.5</v>
      </c>
      <c r="H74" s="5">
        <v>53</v>
      </c>
      <c r="I74" s="4" t="s">
        <v>98</v>
      </c>
      <c r="J74" s="4" t="s">
        <v>40</v>
      </c>
      <c r="K74" s="3" t="s">
        <v>40</v>
      </c>
    </row>
    <row r="75" spans="1:300">
      <c r="A75" s="4" t="s">
        <v>87</v>
      </c>
      <c r="B75" s="4" t="s">
        <v>59</v>
      </c>
      <c r="C75" s="4" t="s">
        <v>59</v>
      </c>
      <c r="D75" s="4" t="s">
        <v>71</v>
      </c>
      <c r="E75" s="3">
        <v>172736.36300000001</v>
      </c>
      <c r="F75" s="3">
        <v>6.3077722193861101</v>
      </c>
      <c r="G75" s="3">
        <v>167978.18799999999</v>
      </c>
      <c r="H75" s="5">
        <v>33</v>
      </c>
      <c r="I75" s="4" t="s">
        <v>73</v>
      </c>
      <c r="J75" s="4" t="s">
        <v>81</v>
      </c>
      <c r="K75" s="3" t="s">
        <v>40</v>
      </c>
    </row>
    <row r="76" spans="1:300">
      <c r="A76" s="4" t="s">
        <v>87</v>
      </c>
      <c r="B76" s="4" t="s">
        <v>99</v>
      </c>
      <c r="C76" s="4" t="s">
        <v>100</v>
      </c>
      <c r="D76" s="4" t="s">
        <v>84</v>
      </c>
      <c r="E76" s="3">
        <v>171403</v>
      </c>
      <c r="F76" s="3">
        <v>5.4871757472364804</v>
      </c>
      <c r="G76" s="3">
        <v>169526</v>
      </c>
      <c r="H76" s="5">
        <v>32</v>
      </c>
      <c r="I76" s="4" t="s">
        <v>77</v>
      </c>
      <c r="J76" s="4" t="s">
        <v>101</v>
      </c>
      <c r="K76" s="3" t="s">
        <v>40</v>
      </c>
    </row>
    <row r="77" spans="1:300">
      <c r="A77" s="4" t="s">
        <v>87</v>
      </c>
      <c r="B77" s="4" t="s">
        <v>102</v>
      </c>
      <c r="C77" s="4" t="s">
        <v>103</v>
      </c>
      <c r="D77" s="4" t="s">
        <v>104</v>
      </c>
      <c r="E77" s="3">
        <v>162008.43</v>
      </c>
      <c r="F77" s="3">
        <v>-0.29455885869058201</v>
      </c>
      <c r="G77" s="3">
        <v>153432</v>
      </c>
      <c r="H77" s="5">
        <v>227</v>
      </c>
      <c r="I77" s="4" t="s">
        <v>105</v>
      </c>
      <c r="J77" s="4" t="s">
        <v>106</v>
      </c>
      <c r="K77" s="3" t="s">
        <v>40</v>
      </c>
    </row>
    <row r="78" spans="1:300">
      <c r="A78" s="339" t="s">
        <v>1</v>
      </c>
      <c r="B78" s="339"/>
      <c r="C78" s="339"/>
      <c r="D78" s="339"/>
      <c r="E78" s="339"/>
      <c r="F78" s="339"/>
      <c r="G78" s="339"/>
      <c r="H78" s="339"/>
      <c r="I78" s="339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39"/>
      <c r="W78" s="339"/>
      <c r="X78" s="339"/>
      <c r="Y78" s="339"/>
      <c r="Z78" s="339"/>
      <c r="AA78" s="339"/>
      <c r="AB78" s="339"/>
      <c r="AC78" s="339"/>
      <c r="AD78" s="339"/>
      <c r="AE78" s="339"/>
      <c r="AF78" s="339"/>
      <c r="AG78" s="339"/>
      <c r="AH78" s="339"/>
      <c r="AI78" s="339"/>
      <c r="AJ78" s="339"/>
      <c r="AK78" s="339"/>
      <c r="AL78" s="339"/>
      <c r="AM78" s="339"/>
      <c r="AN78" s="339"/>
      <c r="AO78" s="339"/>
      <c r="AP78" s="339"/>
      <c r="AQ78" s="339"/>
      <c r="AR78" s="339"/>
      <c r="AS78" s="339"/>
      <c r="AT78" s="339"/>
      <c r="AU78" s="339"/>
      <c r="AV78" s="339"/>
      <c r="AW78" s="339"/>
      <c r="AX78" s="339"/>
      <c r="AY78" s="339"/>
      <c r="AZ78" s="339"/>
      <c r="BA78" s="339"/>
      <c r="BB78" s="339"/>
      <c r="BC78" s="339"/>
      <c r="BD78" s="339"/>
      <c r="BE78" s="339"/>
      <c r="BF78" s="339"/>
      <c r="BG78" s="339"/>
      <c r="BH78" s="339"/>
      <c r="BI78" s="339"/>
      <c r="BJ78" s="339"/>
      <c r="BK78" s="339"/>
      <c r="BL78" s="339"/>
      <c r="BM78" s="339"/>
      <c r="BN78" s="339"/>
      <c r="BO78" s="339"/>
      <c r="BP78" s="339"/>
      <c r="BQ78" s="339"/>
      <c r="BR78" s="339"/>
      <c r="BS78" s="339"/>
      <c r="BT78" s="339"/>
      <c r="BU78" s="339"/>
      <c r="BV78" s="339"/>
      <c r="BW78" s="339"/>
      <c r="BX78" s="339"/>
      <c r="BY78" s="339"/>
      <c r="BZ78" s="339"/>
      <c r="CA78" s="339"/>
      <c r="CB78" s="339"/>
      <c r="CC78" s="339"/>
      <c r="CD78" s="339"/>
      <c r="CE78" s="339"/>
      <c r="CF78" s="339"/>
      <c r="CG78" s="339"/>
      <c r="CH78" s="339"/>
      <c r="CI78" s="339"/>
      <c r="CJ78" s="339"/>
      <c r="CK78" s="339"/>
      <c r="CL78" s="339"/>
      <c r="CM78" s="339"/>
      <c r="CN78" s="339"/>
      <c r="CO78" s="339"/>
      <c r="CP78" s="339"/>
      <c r="CQ78" s="339"/>
      <c r="CR78" s="339"/>
      <c r="CS78" s="339"/>
      <c r="CT78" s="339"/>
      <c r="CU78" s="339"/>
      <c r="CV78" s="339"/>
      <c r="CW78" s="339"/>
      <c r="CX78" s="339"/>
      <c r="CY78" s="339"/>
      <c r="CZ78" s="339"/>
      <c r="DA78" s="339"/>
      <c r="DB78" s="339"/>
      <c r="DC78" s="339"/>
      <c r="DD78" s="339"/>
      <c r="DE78" s="339"/>
      <c r="DF78" s="339"/>
      <c r="DG78" s="339"/>
      <c r="DH78" s="339"/>
      <c r="DI78" s="339"/>
      <c r="DJ78" s="339"/>
      <c r="DK78" s="339"/>
      <c r="DL78" s="339"/>
      <c r="DM78" s="339"/>
      <c r="DN78" s="339"/>
      <c r="DO78" s="339"/>
      <c r="DP78" s="339"/>
      <c r="DQ78" s="339"/>
      <c r="DR78" s="339"/>
      <c r="DS78" s="339"/>
      <c r="DT78" s="339"/>
      <c r="DU78" s="339"/>
      <c r="DV78" s="339"/>
      <c r="DW78" s="339"/>
      <c r="DX78" s="339"/>
      <c r="DY78" s="339"/>
      <c r="DZ78" s="339"/>
      <c r="EA78" s="339"/>
      <c r="EB78" s="339"/>
      <c r="EC78" s="339"/>
      <c r="ED78" s="339"/>
      <c r="EE78" s="339"/>
      <c r="EF78" s="339"/>
      <c r="EG78" s="339"/>
      <c r="EH78" s="339"/>
      <c r="EI78" s="339"/>
      <c r="EJ78" s="339"/>
      <c r="EK78" s="339"/>
      <c r="EL78" s="339"/>
      <c r="EM78" s="339"/>
      <c r="EN78" s="339"/>
      <c r="EO78" s="339"/>
      <c r="EP78" s="339"/>
      <c r="EQ78" s="339"/>
      <c r="ER78" s="339"/>
      <c r="ES78" s="339"/>
      <c r="ET78" s="339"/>
      <c r="EU78" s="339"/>
      <c r="EV78" s="339"/>
      <c r="EW78" s="339"/>
      <c r="EX78" s="339"/>
      <c r="EY78" s="339"/>
      <c r="EZ78" s="339"/>
      <c r="FA78" s="339"/>
      <c r="FB78" s="339"/>
      <c r="FC78" s="339"/>
      <c r="FD78" s="339"/>
      <c r="FE78" s="339"/>
      <c r="FF78" s="339"/>
      <c r="FG78" s="339"/>
      <c r="FH78" s="339"/>
      <c r="FI78" s="339"/>
      <c r="FJ78" s="339"/>
      <c r="FK78" s="339"/>
      <c r="FL78" s="339"/>
      <c r="FM78" s="339"/>
      <c r="FN78" s="339"/>
      <c r="FO78" s="339"/>
      <c r="FP78" s="339"/>
      <c r="FQ78" s="339"/>
      <c r="FR78" s="339"/>
      <c r="FS78" s="339"/>
      <c r="FT78" s="339"/>
      <c r="FU78" s="339"/>
      <c r="FV78" s="339"/>
      <c r="FW78" s="339"/>
      <c r="FX78" s="339"/>
      <c r="FY78" s="339"/>
      <c r="FZ78" s="339"/>
      <c r="GA78" s="339"/>
      <c r="GB78" s="339"/>
      <c r="GC78" s="339"/>
      <c r="GD78" s="339"/>
      <c r="GE78" s="339"/>
      <c r="GF78" s="339"/>
      <c r="GG78" s="339"/>
      <c r="GH78" s="339"/>
      <c r="GI78" s="339"/>
      <c r="GJ78" s="339"/>
      <c r="GK78" s="339"/>
      <c r="GL78" s="339"/>
      <c r="GM78" s="339"/>
      <c r="GN78" s="339"/>
      <c r="GO78" s="339"/>
      <c r="GP78" s="339"/>
      <c r="GQ78" s="339"/>
      <c r="GR78" s="339"/>
      <c r="GS78" s="339"/>
      <c r="GT78" s="339"/>
      <c r="GU78" s="339"/>
      <c r="GV78" s="339"/>
      <c r="GW78" s="339"/>
      <c r="GX78" s="339"/>
      <c r="GY78" s="339"/>
      <c r="GZ78" s="339"/>
      <c r="HA78" s="339"/>
      <c r="HB78" s="339"/>
      <c r="HC78" s="339"/>
      <c r="HD78" s="339"/>
      <c r="HE78" s="339"/>
      <c r="HF78" s="339"/>
      <c r="HG78" s="339"/>
      <c r="HH78" s="339"/>
      <c r="HI78" s="339"/>
      <c r="HJ78" s="339"/>
      <c r="HK78" s="339"/>
      <c r="HL78" s="339"/>
      <c r="HM78" s="339"/>
      <c r="HN78" s="339"/>
      <c r="HO78" s="339"/>
      <c r="HP78" s="339"/>
      <c r="HQ78" s="339"/>
      <c r="HR78" s="339"/>
      <c r="HS78" s="339"/>
      <c r="HT78" s="339"/>
      <c r="HU78" s="339"/>
      <c r="HV78" s="339"/>
      <c r="HW78" s="339"/>
      <c r="HX78" s="339"/>
      <c r="HY78" s="339"/>
      <c r="HZ78" s="339"/>
      <c r="IA78" s="339"/>
      <c r="IB78" s="339"/>
      <c r="IC78" s="339"/>
      <c r="ID78" s="339"/>
      <c r="IE78" s="339"/>
      <c r="IF78" s="339"/>
      <c r="IG78" s="339"/>
      <c r="IH78" s="339"/>
      <c r="II78" s="339"/>
      <c r="IJ78" s="339"/>
      <c r="IK78" s="339"/>
      <c r="IL78" s="339"/>
      <c r="IM78" s="339"/>
      <c r="IN78" s="339"/>
      <c r="IO78" s="339"/>
      <c r="IP78" s="339"/>
      <c r="IQ78" s="339"/>
      <c r="IR78" s="339"/>
      <c r="IS78" s="339"/>
      <c r="IT78" s="339"/>
      <c r="IU78" s="339"/>
      <c r="IV78" s="339"/>
      <c r="IW78" s="339"/>
      <c r="IX78" s="339"/>
      <c r="IY78" s="339"/>
      <c r="IZ78" s="339"/>
      <c r="JA78" s="339"/>
      <c r="JB78" s="339"/>
      <c r="JC78" s="339"/>
      <c r="JD78" s="339"/>
      <c r="JE78" s="339"/>
      <c r="JF78" s="339"/>
      <c r="JG78" s="339"/>
      <c r="JH78" s="339"/>
      <c r="JI78" s="339"/>
      <c r="JJ78" s="339"/>
      <c r="JK78" s="339"/>
      <c r="JL78" s="339"/>
      <c r="JM78" s="339"/>
      <c r="JN78" s="339"/>
      <c r="JO78" s="339"/>
      <c r="JP78" s="339"/>
      <c r="JQ78" s="339"/>
      <c r="JR78" s="339"/>
      <c r="JS78" s="339"/>
      <c r="JT78" s="339"/>
      <c r="JU78" s="339"/>
      <c r="JV78" s="339"/>
      <c r="JW78" s="339"/>
      <c r="JX78" s="339"/>
      <c r="JY78" s="339"/>
      <c r="JZ78" s="339"/>
      <c r="KA78" s="339"/>
      <c r="KB78" s="339"/>
      <c r="KC78" s="339"/>
      <c r="KD78" s="339"/>
      <c r="KE78" s="339"/>
      <c r="KF78" s="339"/>
      <c r="KG78" s="339"/>
      <c r="KH78" s="339"/>
      <c r="KI78" s="339"/>
      <c r="KJ78" s="339"/>
      <c r="KK78" s="339"/>
      <c r="KL78" s="339"/>
      <c r="KM78" s="339"/>
      <c r="KN78" s="339"/>
    </row>
  </sheetData>
  <mergeCells count="22">
    <mergeCell ref="C2"/>
    <mergeCell ref="A4:KN4"/>
    <mergeCell ref="A8:KN8"/>
    <mergeCell ref="B9:C9"/>
    <mergeCell ref="A17:KN17"/>
    <mergeCell ref="B18:C18"/>
    <mergeCell ref="A22:KN22"/>
    <mergeCell ref="B23:E23"/>
    <mergeCell ref="A28:KN28"/>
    <mergeCell ref="B29:G29"/>
    <mergeCell ref="E30:G30"/>
    <mergeCell ref="E31:G31"/>
    <mergeCell ref="E32:G32"/>
    <mergeCell ref="E33:G33"/>
    <mergeCell ref="A34:KN34"/>
    <mergeCell ref="A63:K63"/>
    <mergeCell ref="A78:KN78"/>
    <mergeCell ref="A35:K35"/>
    <mergeCell ref="A36:K36"/>
    <mergeCell ref="A60:KN60"/>
    <mergeCell ref="B61:E61"/>
    <mergeCell ref="A62:KN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8914-A6F0-4AD3-9AEA-829BCD8AFBF4}">
  <sheetPr>
    <outlinePr summaryBelow="0"/>
  </sheetPr>
  <dimension ref="A1:KN75"/>
  <sheetViews>
    <sheetView workbookViewId="0">
      <selection activeCell="C16" sqref="C16"/>
    </sheetView>
  </sheetViews>
  <sheetFormatPr defaultRowHeight="15" outlineLevelRow="1"/>
  <cols>
    <col min="1" max="1" width="2.5703125" bestFit="1" customWidth="1"/>
    <col min="2" max="2" width="50" bestFit="1" customWidth="1"/>
    <col min="3" max="3" width="31.42578125" bestFit="1" customWidth="1"/>
    <col min="4" max="301" width="20.7109375" bestFit="1" customWidth="1"/>
  </cols>
  <sheetData>
    <row r="1" spans="1:300">
      <c r="B1" t="s">
        <v>107</v>
      </c>
    </row>
    <row r="2" spans="1:300">
      <c r="A2" s="1" t="s">
        <v>1</v>
      </c>
      <c r="B2" s="2" t="s">
        <v>2</v>
      </c>
      <c r="C2" s="340" t="s">
        <v>3</v>
      </c>
    </row>
    <row r="3" spans="1:300">
      <c r="A3" s="1" t="s">
        <v>1</v>
      </c>
      <c r="B3" s="2" t="s">
        <v>4</v>
      </c>
      <c r="C3" s="1" t="s">
        <v>5</v>
      </c>
    </row>
    <row r="4" spans="1:300">
      <c r="A4" s="339" t="s">
        <v>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339"/>
      <c r="AY4" s="339"/>
      <c r="AZ4" s="339"/>
      <c r="BA4" s="339"/>
      <c r="BB4" s="339"/>
      <c r="BC4" s="339"/>
      <c r="BD4" s="339"/>
      <c r="BE4" s="339"/>
      <c r="BF4" s="339"/>
      <c r="BG4" s="339"/>
      <c r="BH4" s="339"/>
      <c r="BI4" s="339"/>
      <c r="BJ4" s="339"/>
      <c r="BK4" s="339"/>
      <c r="BL4" s="339"/>
      <c r="BM4" s="339"/>
      <c r="BN4" s="339"/>
      <c r="BO4" s="339"/>
      <c r="BP4" s="339"/>
      <c r="BQ4" s="339"/>
      <c r="BR4" s="339"/>
      <c r="BS4" s="339"/>
      <c r="BT4" s="339"/>
      <c r="BU4" s="339"/>
      <c r="BV4" s="339"/>
      <c r="BW4" s="339"/>
      <c r="BX4" s="339"/>
      <c r="BY4" s="339"/>
      <c r="BZ4" s="339"/>
      <c r="CA4" s="339"/>
      <c r="CB4" s="339"/>
      <c r="CC4" s="339"/>
      <c r="CD4" s="339"/>
      <c r="CE4" s="339"/>
      <c r="CF4" s="339"/>
      <c r="CG4" s="339"/>
      <c r="CH4" s="339"/>
      <c r="CI4" s="339"/>
      <c r="CJ4" s="339"/>
      <c r="CK4" s="339"/>
      <c r="CL4" s="339"/>
      <c r="CM4" s="339"/>
      <c r="CN4" s="339"/>
      <c r="CO4" s="339"/>
      <c r="CP4" s="339"/>
      <c r="CQ4" s="339"/>
      <c r="CR4" s="339"/>
      <c r="CS4" s="339"/>
      <c r="CT4" s="339"/>
      <c r="CU4" s="339"/>
      <c r="CV4" s="339"/>
      <c r="CW4" s="339"/>
      <c r="CX4" s="339"/>
      <c r="CY4" s="339"/>
      <c r="CZ4" s="339"/>
      <c r="DA4" s="339"/>
      <c r="DB4" s="339"/>
      <c r="DC4" s="339"/>
      <c r="DD4" s="339"/>
      <c r="DE4" s="339"/>
      <c r="DF4" s="339"/>
      <c r="DG4" s="339"/>
      <c r="DH4" s="339"/>
      <c r="DI4" s="339"/>
      <c r="DJ4" s="339"/>
      <c r="DK4" s="339"/>
      <c r="DL4" s="339"/>
      <c r="DM4" s="339"/>
      <c r="DN4" s="339"/>
      <c r="DO4" s="339"/>
      <c r="DP4" s="339"/>
      <c r="DQ4" s="339"/>
      <c r="DR4" s="339"/>
      <c r="DS4" s="339"/>
      <c r="DT4" s="339"/>
      <c r="DU4" s="339"/>
      <c r="DV4" s="339"/>
      <c r="DW4" s="339"/>
      <c r="DX4" s="339"/>
      <c r="DY4" s="339"/>
      <c r="DZ4" s="339"/>
      <c r="EA4" s="339"/>
      <c r="EB4" s="339"/>
      <c r="EC4" s="339"/>
      <c r="ED4" s="339"/>
      <c r="EE4" s="339"/>
      <c r="EF4" s="339"/>
      <c r="EG4" s="339"/>
      <c r="EH4" s="339"/>
      <c r="EI4" s="339"/>
      <c r="EJ4" s="339"/>
      <c r="EK4" s="339"/>
      <c r="EL4" s="339"/>
      <c r="EM4" s="339"/>
      <c r="EN4" s="339"/>
      <c r="EO4" s="339"/>
      <c r="EP4" s="339"/>
      <c r="EQ4" s="339"/>
      <c r="ER4" s="339"/>
      <c r="ES4" s="339"/>
      <c r="ET4" s="339"/>
      <c r="EU4" s="339"/>
      <c r="EV4" s="339"/>
      <c r="EW4" s="339"/>
      <c r="EX4" s="339"/>
      <c r="EY4" s="339"/>
      <c r="EZ4" s="339"/>
      <c r="FA4" s="339"/>
      <c r="FB4" s="339"/>
      <c r="FC4" s="339"/>
      <c r="FD4" s="339"/>
      <c r="FE4" s="339"/>
      <c r="FF4" s="339"/>
      <c r="FG4" s="339"/>
      <c r="FH4" s="339"/>
      <c r="FI4" s="339"/>
      <c r="FJ4" s="339"/>
      <c r="FK4" s="339"/>
      <c r="FL4" s="339"/>
      <c r="FM4" s="339"/>
      <c r="FN4" s="339"/>
      <c r="FO4" s="339"/>
      <c r="FP4" s="339"/>
      <c r="FQ4" s="339"/>
      <c r="FR4" s="339"/>
      <c r="FS4" s="339"/>
      <c r="FT4" s="339"/>
      <c r="FU4" s="339"/>
      <c r="FV4" s="339"/>
      <c r="FW4" s="339"/>
      <c r="FX4" s="339"/>
      <c r="FY4" s="339"/>
      <c r="FZ4" s="339"/>
      <c r="GA4" s="339"/>
      <c r="GB4" s="339"/>
      <c r="GC4" s="339"/>
      <c r="GD4" s="339"/>
      <c r="GE4" s="339"/>
      <c r="GF4" s="339"/>
      <c r="GG4" s="339"/>
      <c r="GH4" s="339"/>
      <c r="GI4" s="339"/>
      <c r="GJ4" s="339"/>
      <c r="GK4" s="339"/>
      <c r="GL4" s="339"/>
      <c r="GM4" s="339"/>
      <c r="GN4" s="339"/>
      <c r="GO4" s="339"/>
      <c r="GP4" s="339"/>
      <c r="GQ4" s="339"/>
      <c r="GR4" s="339"/>
      <c r="GS4" s="339"/>
      <c r="GT4" s="339"/>
      <c r="GU4" s="339"/>
      <c r="GV4" s="339"/>
      <c r="GW4" s="339"/>
      <c r="GX4" s="339"/>
      <c r="GY4" s="339"/>
      <c r="GZ4" s="339"/>
      <c r="HA4" s="339"/>
      <c r="HB4" s="339"/>
      <c r="HC4" s="339"/>
      <c r="HD4" s="339"/>
      <c r="HE4" s="339"/>
      <c r="HF4" s="339"/>
      <c r="HG4" s="339"/>
      <c r="HH4" s="339"/>
      <c r="HI4" s="339"/>
      <c r="HJ4" s="339"/>
      <c r="HK4" s="339"/>
      <c r="HL4" s="339"/>
      <c r="HM4" s="339"/>
      <c r="HN4" s="339"/>
      <c r="HO4" s="339"/>
      <c r="HP4" s="339"/>
      <c r="HQ4" s="339"/>
      <c r="HR4" s="339"/>
      <c r="HS4" s="339"/>
      <c r="HT4" s="339"/>
      <c r="HU4" s="339"/>
      <c r="HV4" s="339"/>
      <c r="HW4" s="339"/>
      <c r="HX4" s="339"/>
      <c r="HY4" s="339"/>
      <c r="HZ4" s="339"/>
      <c r="IA4" s="339"/>
      <c r="IB4" s="339"/>
      <c r="IC4" s="339"/>
      <c r="ID4" s="339"/>
      <c r="IE4" s="339"/>
      <c r="IF4" s="339"/>
      <c r="IG4" s="339"/>
      <c r="IH4" s="339"/>
      <c r="II4" s="339"/>
      <c r="IJ4" s="339"/>
      <c r="IK4" s="339"/>
      <c r="IL4" s="339"/>
      <c r="IM4" s="339"/>
      <c r="IN4" s="339"/>
      <c r="IO4" s="339"/>
      <c r="IP4" s="339"/>
      <c r="IQ4" s="339"/>
      <c r="IR4" s="339"/>
      <c r="IS4" s="339"/>
      <c r="IT4" s="339"/>
      <c r="IU4" s="339"/>
      <c r="IV4" s="339"/>
      <c r="IW4" s="339"/>
      <c r="IX4" s="339"/>
      <c r="IY4" s="339"/>
      <c r="IZ4" s="339"/>
      <c r="JA4" s="339"/>
      <c r="JB4" s="339"/>
      <c r="JC4" s="339"/>
      <c r="JD4" s="339"/>
      <c r="JE4" s="339"/>
      <c r="JF4" s="339"/>
      <c r="JG4" s="339"/>
      <c r="JH4" s="339"/>
      <c r="JI4" s="339"/>
      <c r="JJ4" s="339"/>
      <c r="JK4" s="339"/>
      <c r="JL4" s="339"/>
      <c r="JM4" s="339"/>
      <c r="JN4" s="339"/>
      <c r="JO4" s="339"/>
      <c r="JP4" s="339"/>
      <c r="JQ4" s="339"/>
      <c r="JR4" s="339"/>
      <c r="JS4" s="339"/>
      <c r="JT4" s="339"/>
      <c r="JU4" s="339"/>
      <c r="JV4" s="339"/>
      <c r="JW4" s="339"/>
      <c r="JX4" s="339"/>
      <c r="JY4" s="339"/>
      <c r="JZ4" s="339"/>
      <c r="KA4" s="339"/>
      <c r="KB4" s="339"/>
      <c r="KC4" s="339"/>
      <c r="KD4" s="339"/>
      <c r="KE4" s="339"/>
      <c r="KF4" s="339"/>
      <c r="KG4" s="339"/>
      <c r="KH4" s="339"/>
      <c r="KI4" s="339"/>
      <c r="KJ4" s="339"/>
      <c r="KK4" s="339"/>
      <c r="KL4" s="339"/>
      <c r="KM4" s="339"/>
      <c r="KN4" s="339"/>
    </row>
    <row r="5" spans="1:300">
      <c r="A5" s="1" t="s">
        <v>1</v>
      </c>
      <c r="B5" s="2" t="s">
        <v>6</v>
      </c>
      <c r="C5" s="1" t="s">
        <v>7</v>
      </c>
    </row>
    <row r="6" spans="1:300">
      <c r="A6" s="1" t="s">
        <v>1</v>
      </c>
      <c r="B6" s="2" t="s">
        <v>8</v>
      </c>
      <c r="C6" s="1" t="s">
        <v>108</v>
      </c>
    </row>
    <row r="7" spans="1:300">
      <c r="A7" s="1" t="s">
        <v>1</v>
      </c>
      <c r="B7" s="2" t="s">
        <v>10</v>
      </c>
      <c r="C7" s="1" t="s">
        <v>11</v>
      </c>
    </row>
    <row r="8" spans="1:300">
      <c r="A8" s="339" t="s">
        <v>1</v>
      </c>
      <c r="B8" s="339"/>
      <c r="C8" s="339"/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9"/>
      <c r="Q8" s="339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BZ8" s="339"/>
      <c r="CA8" s="339"/>
      <c r="CB8" s="339"/>
      <c r="CC8" s="339"/>
      <c r="CD8" s="339"/>
      <c r="CE8" s="339"/>
      <c r="CF8" s="339"/>
      <c r="CG8" s="339"/>
      <c r="CH8" s="339"/>
      <c r="CI8" s="339"/>
      <c r="CJ8" s="339"/>
      <c r="CK8" s="339"/>
      <c r="CL8" s="339"/>
      <c r="CM8" s="339"/>
      <c r="CN8" s="339"/>
      <c r="CO8" s="339"/>
      <c r="CP8" s="339"/>
      <c r="CQ8" s="339"/>
      <c r="CR8" s="339"/>
      <c r="CS8" s="339"/>
      <c r="CT8" s="339"/>
      <c r="CU8" s="339"/>
      <c r="CV8" s="339"/>
      <c r="CW8" s="339"/>
      <c r="CX8" s="339"/>
      <c r="CY8" s="339"/>
      <c r="CZ8" s="339"/>
      <c r="DA8" s="339"/>
      <c r="DB8" s="339"/>
      <c r="DC8" s="339"/>
      <c r="DD8" s="339"/>
      <c r="DE8" s="339"/>
      <c r="DF8" s="339"/>
      <c r="DG8" s="339"/>
      <c r="DH8" s="339"/>
      <c r="DI8" s="339"/>
      <c r="DJ8" s="339"/>
      <c r="DK8" s="339"/>
      <c r="DL8" s="339"/>
      <c r="DM8" s="339"/>
      <c r="DN8" s="339"/>
      <c r="DO8" s="339"/>
      <c r="DP8" s="339"/>
      <c r="DQ8" s="339"/>
      <c r="DR8" s="339"/>
      <c r="DS8" s="339"/>
      <c r="DT8" s="339"/>
      <c r="DU8" s="339"/>
      <c r="DV8" s="339"/>
      <c r="DW8" s="339"/>
      <c r="DX8" s="339"/>
      <c r="DY8" s="339"/>
      <c r="DZ8" s="339"/>
      <c r="EA8" s="339"/>
      <c r="EB8" s="339"/>
      <c r="EC8" s="339"/>
      <c r="ED8" s="339"/>
      <c r="EE8" s="339"/>
      <c r="EF8" s="339"/>
      <c r="EG8" s="339"/>
      <c r="EH8" s="339"/>
      <c r="EI8" s="339"/>
      <c r="EJ8" s="339"/>
      <c r="EK8" s="339"/>
      <c r="EL8" s="339"/>
      <c r="EM8" s="339"/>
      <c r="EN8" s="339"/>
      <c r="EO8" s="339"/>
      <c r="EP8" s="339"/>
      <c r="EQ8" s="339"/>
      <c r="ER8" s="339"/>
      <c r="ES8" s="339"/>
      <c r="ET8" s="339"/>
      <c r="EU8" s="339"/>
      <c r="EV8" s="339"/>
      <c r="EW8" s="339"/>
      <c r="EX8" s="339"/>
      <c r="EY8" s="339"/>
      <c r="EZ8" s="339"/>
      <c r="FA8" s="339"/>
      <c r="FB8" s="339"/>
      <c r="FC8" s="339"/>
      <c r="FD8" s="339"/>
      <c r="FE8" s="339"/>
      <c r="FF8" s="339"/>
      <c r="FG8" s="339"/>
      <c r="FH8" s="339"/>
      <c r="FI8" s="339"/>
      <c r="FJ8" s="339"/>
      <c r="FK8" s="339"/>
      <c r="FL8" s="339"/>
      <c r="FM8" s="339"/>
      <c r="FN8" s="339"/>
      <c r="FO8" s="339"/>
      <c r="FP8" s="339"/>
      <c r="FQ8" s="339"/>
      <c r="FR8" s="339"/>
      <c r="FS8" s="339"/>
      <c r="FT8" s="339"/>
      <c r="FU8" s="339"/>
      <c r="FV8" s="339"/>
      <c r="FW8" s="339"/>
      <c r="FX8" s="339"/>
      <c r="FY8" s="339"/>
      <c r="FZ8" s="339"/>
      <c r="GA8" s="339"/>
      <c r="GB8" s="339"/>
      <c r="GC8" s="339"/>
      <c r="GD8" s="339"/>
      <c r="GE8" s="339"/>
      <c r="GF8" s="339"/>
      <c r="GG8" s="339"/>
      <c r="GH8" s="339"/>
      <c r="GI8" s="339"/>
      <c r="GJ8" s="339"/>
      <c r="GK8" s="339"/>
      <c r="GL8" s="339"/>
      <c r="GM8" s="339"/>
      <c r="GN8" s="339"/>
      <c r="GO8" s="339"/>
      <c r="GP8" s="339"/>
      <c r="GQ8" s="339"/>
      <c r="GR8" s="339"/>
      <c r="GS8" s="339"/>
      <c r="GT8" s="339"/>
      <c r="GU8" s="339"/>
      <c r="GV8" s="339"/>
      <c r="GW8" s="339"/>
      <c r="GX8" s="339"/>
      <c r="GY8" s="339"/>
      <c r="GZ8" s="339"/>
      <c r="HA8" s="339"/>
      <c r="HB8" s="339"/>
      <c r="HC8" s="339"/>
      <c r="HD8" s="339"/>
      <c r="HE8" s="339"/>
      <c r="HF8" s="339"/>
      <c r="HG8" s="339"/>
      <c r="HH8" s="339"/>
      <c r="HI8" s="339"/>
      <c r="HJ8" s="339"/>
      <c r="HK8" s="339"/>
      <c r="HL8" s="339"/>
      <c r="HM8" s="339"/>
      <c r="HN8" s="339"/>
      <c r="HO8" s="339"/>
      <c r="HP8" s="339"/>
      <c r="HQ8" s="339"/>
      <c r="HR8" s="339"/>
      <c r="HS8" s="339"/>
      <c r="HT8" s="339"/>
      <c r="HU8" s="339"/>
      <c r="HV8" s="339"/>
      <c r="HW8" s="339"/>
      <c r="HX8" s="339"/>
      <c r="HY8" s="339"/>
      <c r="HZ8" s="339"/>
      <c r="IA8" s="339"/>
      <c r="IB8" s="339"/>
      <c r="IC8" s="339"/>
      <c r="ID8" s="339"/>
      <c r="IE8" s="339"/>
      <c r="IF8" s="339"/>
      <c r="IG8" s="339"/>
      <c r="IH8" s="339"/>
      <c r="II8" s="339"/>
      <c r="IJ8" s="339"/>
      <c r="IK8" s="339"/>
      <c r="IL8" s="339"/>
      <c r="IM8" s="339"/>
      <c r="IN8" s="339"/>
      <c r="IO8" s="339"/>
      <c r="IP8" s="339"/>
      <c r="IQ8" s="339"/>
      <c r="IR8" s="339"/>
      <c r="IS8" s="339"/>
      <c r="IT8" s="339"/>
      <c r="IU8" s="339"/>
      <c r="IV8" s="339"/>
      <c r="IW8" s="339"/>
      <c r="IX8" s="339"/>
      <c r="IY8" s="339"/>
      <c r="IZ8" s="339"/>
      <c r="JA8" s="339"/>
      <c r="JB8" s="339"/>
      <c r="JC8" s="339"/>
      <c r="JD8" s="339"/>
      <c r="JE8" s="339"/>
      <c r="JF8" s="339"/>
      <c r="JG8" s="339"/>
      <c r="JH8" s="339"/>
      <c r="JI8" s="339"/>
      <c r="JJ8" s="339"/>
      <c r="JK8" s="339"/>
      <c r="JL8" s="339"/>
      <c r="JM8" s="339"/>
      <c r="JN8" s="339"/>
      <c r="JO8" s="339"/>
      <c r="JP8" s="339"/>
      <c r="JQ8" s="339"/>
      <c r="JR8" s="339"/>
      <c r="JS8" s="339"/>
      <c r="JT8" s="339"/>
      <c r="JU8" s="339"/>
      <c r="JV8" s="339"/>
      <c r="JW8" s="339"/>
      <c r="JX8" s="339"/>
      <c r="JY8" s="339"/>
      <c r="JZ8" s="339"/>
      <c r="KA8" s="339"/>
      <c r="KB8" s="339"/>
      <c r="KC8" s="339"/>
      <c r="KD8" s="339"/>
      <c r="KE8" s="339"/>
      <c r="KF8" s="339"/>
      <c r="KG8" s="339"/>
      <c r="KH8" s="339"/>
      <c r="KI8" s="339"/>
      <c r="KJ8" s="339"/>
      <c r="KK8" s="339"/>
      <c r="KL8" s="339"/>
      <c r="KM8" s="339"/>
      <c r="KN8" s="339"/>
    </row>
    <row r="9" spans="1:300">
      <c r="A9" s="1" t="s">
        <v>1</v>
      </c>
      <c r="B9" s="401" t="s">
        <v>12</v>
      </c>
      <c r="C9" s="401"/>
    </row>
    <row r="10" spans="1:300">
      <c r="A10" s="1" t="s">
        <v>1</v>
      </c>
      <c r="B10" s="15" t="s">
        <v>13</v>
      </c>
      <c r="C10" s="14">
        <v>171103.99599999998</v>
      </c>
    </row>
    <row r="11" spans="1:300">
      <c r="A11" s="1" t="s">
        <v>1</v>
      </c>
      <c r="B11" s="4" t="s">
        <v>14</v>
      </c>
      <c r="C11" s="3">
        <v>167908.46734999999</v>
      </c>
    </row>
    <row r="12" spans="1:300">
      <c r="A12" s="1" t="s">
        <v>1</v>
      </c>
      <c r="B12" s="4" t="s">
        <v>15</v>
      </c>
      <c r="C12" s="3">
        <v>171103.99600000001</v>
      </c>
    </row>
    <row r="13" spans="1:300">
      <c r="A13" s="1" t="s">
        <v>1</v>
      </c>
      <c r="B13" s="4" t="s">
        <v>16</v>
      </c>
      <c r="C13" s="3">
        <v>-1.8680000000000001</v>
      </c>
    </row>
    <row r="14" spans="1:300">
      <c r="A14" s="1" t="s">
        <v>1</v>
      </c>
      <c r="B14" s="4" t="s">
        <v>17</v>
      </c>
      <c r="C14" s="3">
        <v>171779.25</v>
      </c>
    </row>
    <row r="15" spans="1:300">
      <c r="A15" s="1" t="s">
        <v>1</v>
      </c>
      <c r="B15" s="4" t="s">
        <v>18</v>
      </c>
      <c r="C15" s="3">
        <v>145386</v>
      </c>
    </row>
    <row r="16" spans="1:300">
      <c r="A16" s="1" t="s">
        <v>1</v>
      </c>
      <c r="B16" s="4" t="s">
        <v>19</v>
      </c>
      <c r="C16" s="3">
        <v>191300</v>
      </c>
    </row>
    <row r="17" spans="1:300">
      <c r="A17" s="339" t="s">
        <v>1</v>
      </c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339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  <c r="BP17" s="339"/>
      <c r="BQ17" s="339"/>
      <c r="BR17" s="339"/>
      <c r="BS17" s="339"/>
      <c r="BT17" s="339"/>
      <c r="BU17" s="339"/>
      <c r="BV17" s="339"/>
      <c r="BW17" s="339"/>
      <c r="BX17" s="339"/>
      <c r="BY17" s="339"/>
      <c r="BZ17" s="339"/>
      <c r="CA17" s="339"/>
      <c r="CB17" s="339"/>
      <c r="CC17" s="339"/>
      <c r="CD17" s="339"/>
      <c r="CE17" s="339"/>
      <c r="CF17" s="339"/>
      <c r="CG17" s="339"/>
      <c r="CH17" s="339"/>
      <c r="CI17" s="339"/>
      <c r="CJ17" s="339"/>
      <c r="CK17" s="339"/>
      <c r="CL17" s="339"/>
      <c r="CM17" s="339"/>
      <c r="CN17" s="339"/>
      <c r="CO17" s="339"/>
      <c r="CP17" s="339"/>
      <c r="CQ17" s="339"/>
      <c r="CR17" s="339"/>
      <c r="CS17" s="339"/>
      <c r="CT17" s="339"/>
      <c r="CU17" s="339"/>
      <c r="CV17" s="339"/>
      <c r="CW17" s="339"/>
      <c r="CX17" s="339"/>
      <c r="CY17" s="339"/>
      <c r="CZ17" s="339"/>
      <c r="DA17" s="339"/>
      <c r="DB17" s="339"/>
      <c r="DC17" s="339"/>
      <c r="DD17" s="339"/>
      <c r="DE17" s="339"/>
      <c r="DF17" s="339"/>
      <c r="DG17" s="339"/>
      <c r="DH17" s="339"/>
      <c r="DI17" s="339"/>
      <c r="DJ17" s="339"/>
      <c r="DK17" s="339"/>
      <c r="DL17" s="339"/>
      <c r="DM17" s="339"/>
      <c r="DN17" s="339"/>
      <c r="DO17" s="339"/>
      <c r="DP17" s="339"/>
      <c r="DQ17" s="339"/>
      <c r="DR17" s="339"/>
      <c r="DS17" s="339"/>
      <c r="DT17" s="339"/>
      <c r="DU17" s="339"/>
      <c r="DV17" s="339"/>
      <c r="DW17" s="339"/>
      <c r="DX17" s="339"/>
      <c r="DY17" s="339"/>
      <c r="DZ17" s="339"/>
      <c r="EA17" s="339"/>
      <c r="EB17" s="339"/>
      <c r="EC17" s="339"/>
      <c r="ED17" s="339"/>
      <c r="EE17" s="339"/>
      <c r="EF17" s="339"/>
      <c r="EG17" s="339"/>
      <c r="EH17" s="339"/>
      <c r="EI17" s="339"/>
      <c r="EJ17" s="339"/>
      <c r="EK17" s="339"/>
      <c r="EL17" s="339"/>
      <c r="EM17" s="339"/>
      <c r="EN17" s="339"/>
      <c r="EO17" s="339"/>
      <c r="EP17" s="339"/>
      <c r="EQ17" s="339"/>
      <c r="ER17" s="339"/>
      <c r="ES17" s="339"/>
      <c r="ET17" s="339"/>
      <c r="EU17" s="339"/>
      <c r="EV17" s="339"/>
      <c r="EW17" s="339"/>
      <c r="EX17" s="339"/>
      <c r="EY17" s="339"/>
      <c r="EZ17" s="339"/>
      <c r="FA17" s="339"/>
      <c r="FB17" s="339"/>
      <c r="FC17" s="339"/>
      <c r="FD17" s="339"/>
      <c r="FE17" s="339"/>
      <c r="FF17" s="339"/>
      <c r="FG17" s="339"/>
      <c r="FH17" s="339"/>
      <c r="FI17" s="339"/>
      <c r="FJ17" s="339"/>
      <c r="FK17" s="339"/>
      <c r="FL17" s="339"/>
      <c r="FM17" s="339"/>
      <c r="FN17" s="339"/>
      <c r="FO17" s="339"/>
      <c r="FP17" s="339"/>
      <c r="FQ17" s="339"/>
      <c r="FR17" s="339"/>
      <c r="FS17" s="339"/>
      <c r="FT17" s="339"/>
      <c r="FU17" s="339"/>
      <c r="FV17" s="339"/>
      <c r="FW17" s="339"/>
      <c r="FX17" s="339"/>
      <c r="FY17" s="339"/>
      <c r="FZ17" s="339"/>
      <c r="GA17" s="339"/>
      <c r="GB17" s="339"/>
      <c r="GC17" s="339"/>
      <c r="GD17" s="339"/>
      <c r="GE17" s="339"/>
      <c r="GF17" s="339"/>
      <c r="GG17" s="339"/>
      <c r="GH17" s="339"/>
      <c r="GI17" s="339"/>
      <c r="GJ17" s="339"/>
      <c r="GK17" s="339"/>
      <c r="GL17" s="339"/>
      <c r="GM17" s="339"/>
      <c r="GN17" s="339"/>
      <c r="GO17" s="339"/>
      <c r="GP17" s="339"/>
      <c r="GQ17" s="339"/>
      <c r="GR17" s="339"/>
      <c r="GS17" s="339"/>
      <c r="GT17" s="339"/>
      <c r="GU17" s="339"/>
      <c r="GV17" s="339"/>
      <c r="GW17" s="339"/>
      <c r="GX17" s="339"/>
      <c r="GY17" s="339"/>
      <c r="GZ17" s="339"/>
      <c r="HA17" s="339"/>
      <c r="HB17" s="339"/>
      <c r="HC17" s="339"/>
      <c r="HD17" s="339"/>
      <c r="HE17" s="339"/>
      <c r="HF17" s="339"/>
      <c r="HG17" s="339"/>
      <c r="HH17" s="339"/>
      <c r="HI17" s="339"/>
      <c r="HJ17" s="339"/>
      <c r="HK17" s="339"/>
      <c r="HL17" s="339"/>
      <c r="HM17" s="339"/>
      <c r="HN17" s="339"/>
      <c r="HO17" s="339"/>
      <c r="HP17" s="339"/>
      <c r="HQ17" s="339"/>
      <c r="HR17" s="339"/>
      <c r="HS17" s="339"/>
      <c r="HT17" s="339"/>
      <c r="HU17" s="339"/>
      <c r="HV17" s="339"/>
      <c r="HW17" s="339"/>
      <c r="HX17" s="339"/>
      <c r="HY17" s="339"/>
      <c r="HZ17" s="339"/>
      <c r="IA17" s="339"/>
      <c r="IB17" s="339"/>
      <c r="IC17" s="339"/>
      <c r="ID17" s="339"/>
      <c r="IE17" s="339"/>
      <c r="IF17" s="339"/>
      <c r="IG17" s="339"/>
      <c r="IH17" s="339"/>
      <c r="II17" s="339"/>
      <c r="IJ17" s="339"/>
      <c r="IK17" s="339"/>
      <c r="IL17" s="339"/>
      <c r="IM17" s="339"/>
      <c r="IN17" s="339"/>
      <c r="IO17" s="339"/>
      <c r="IP17" s="339"/>
      <c r="IQ17" s="339"/>
      <c r="IR17" s="339"/>
      <c r="IS17" s="339"/>
      <c r="IT17" s="339"/>
      <c r="IU17" s="339"/>
      <c r="IV17" s="339"/>
      <c r="IW17" s="339"/>
      <c r="IX17" s="339"/>
      <c r="IY17" s="339"/>
      <c r="IZ17" s="339"/>
      <c r="JA17" s="339"/>
      <c r="JB17" s="339"/>
      <c r="JC17" s="339"/>
      <c r="JD17" s="339"/>
      <c r="JE17" s="339"/>
      <c r="JF17" s="339"/>
      <c r="JG17" s="339"/>
      <c r="JH17" s="339"/>
      <c r="JI17" s="339"/>
      <c r="JJ17" s="339"/>
      <c r="JK17" s="339"/>
      <c r="JL17" s="339"/>
      <c r="JM17" s="339"/>
      <c r="JN17" s="339"/>
      <c r="JO17" s="339"/>
      <c r="JP17" s="339"/>
      <c r="JQ17" s="339"/>
      <c r="JR17" s="339"/>
      <c r="JS17" s="339"/>
      <c r="JT17" s="339"/>
      <c r="JU17" s="339"/>
      <c r="JV17" s="339"/>
      <c r="JW17" s="339"/>
      <c r="JX17" s="339"/>
      <c r="JY17" s="339"/>
      <c r="JZ17" s="339"/>
      <c r="KA17" s="339"/>
      <c r="KB17" s="339"/>
      <c r="KC17" s="339"/>
      <c r="KD17" s="339"/>
      <c r="KE17" s="339"/>
      <c r="KF17" s="339"/>
      <c r="KG17" s="339"/>
      <c r="KH17" s="339"/>
      <c r="KI17" s="339"/>
      <c r="KJ17" s="339"/>
      <c r="KK17" s="339"/>
      <c r="KL17" s="339"/>
      <c r="KM17" s="339"/>
      <c r="KN17" s="339"/>
    </row>
    <row r="18" spans="1:300">
      <c r="A18" s="1" t="s">
        <v>1</v>
      </c>
      <c r="B18" s="401" t="s">
        <v>20</v>
      </c>
      <c r="C18" s="401"/>
    </row>
    <row r="19" spans="1:300">
      <c r="A19" s="1" t="s">
        <v>1</v>
      </c>
      <c r="B19" s="4" t="s">
        <v>21</v>
      </c>
      <c r="C19" s="3" t="s">
        <v>22</v>
      </c>
    </row>
    <row r="20" spans="1:300">
      <c r="A20" s="1" t="s">
        <v>1</v>
      </c>
      <c r="B20" s="4" t="s">
        <v>23</v>
      </c>
      <c r="C20" s="3">
        <v>4.2000000000000003E-2</v>
      </c>
    </row>
    <row r="21" spans="1:300">
      <c r="A21" s="1" t="s">
        <v>1</v>
      </c>
      <c r="B21" s="4" t="s">
        <v>24</v>
      </c>
      <c r="C21" s="3">
        <v>6.7610000000000001</v>
      </c>
    </row>
    <row r="22" spans="1:300">
      <c r="A22" s="339" t="s">
        <v>1</v>
      </c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  <c r="BY22" s="339"/>
      <c r="BZ22" s="339"/>
      <c r="CA22" s="339"/>
      <c r="CB22" s="339"/>
      <c r="CC22" s="339"/>
      <c r="CD22" s="339"/>
      <c r="CE22" s="339"/>
      <c r="CF22" s="339"/>
      <c r="CG22" s="339"/>
      <c r="CH22" s="339"/>
      <c r="CI22" s="339"/>
      <c r="CJ22" s="339"/>
      <c r="CK22" s="339"/>
      <c r="CL22" s="339"/>
      <c r="CM22" s="339"/>
      <c r="CN22" s="339"/>
      <c r="CO22" s="339"/>
      <c r="CP22" s="339"/>
      <c r="CQ22" s="339"/>
      <c r="CR22" s="339"/>
      <c r="CS22" s="339"/>
      <c r="CT22" s="339"/>
      <c r="CU22" s="339"/>
      <c r="CV22" s="339"/>
      <c r="CW22" s="339"/>
      <c r="CX22" s="339"/>
      <c r="CY22" s="339"/>
      <c r="CZ22" s="339"/>
      <c r="DA22" s="339"/>
      <c r="DB22" s="339"/>
      <c r="DC22" s="339"/>
      <c r="DD22" s="339"/>
      <c r="DE22" s="339"/>
      <c r="DF22" s="339"/>
      <c r="DG22" s="339"/>
      <c r="DH22" s="339"/>
      <c r="DI22" s="339"/>
      <c r="DJ22" s="339"/>
      <c r="DK22" s="339"/>
      <c r="DL22" s="339"/>
      <c r="DM22" s="339"/>
      <c r="DN22" s="339"/>
      <c r="DO22" s="339"/>
      <c r="DP22" s="339"/>
      <c r="DQ22" s="339"/>
      <c r="DR22" s="339"/>
      <c r="DS22" s="339"/>
      <c r="DT22" s="339"/>
      <c r="DU22" s="339"/>
      <c r="DV22" s="339"/>
      <c r="DW22" s="339"/>
      <c r="DX22" s="339"/>
      <c r="DY22" s="339"/>
      <c r="DZ22" s="339"/>
      <c r="EA22" s="339"/>
      <c r="EB22" s="339"/>
      <c r="EC22" s="339"/>
      <c r="ED22" s="339"/>
      <c r="EE22" s="339"/>
      <c r="EF22" s="339"/>
      <c r="EG22" s="339"/>
      <c r="EH22" s="339"/>
      <c r="EI22" s="339"/>
      <c r="EJ22" s="339"/>
      <c r="EK22" s="339"/>
      <c r="EL22" s="339"/>
      <c r="EM22" s="339"/>
      <c r="EN22" s="339"/>
      <c r="EO22" s="339"/>
      <c r="EP22" s="339"/>
      <c r="EQ22" s="339"/>
      <c r="ER22" s="339"/>
      <c r="ES22" s="339"/>
      <c r="ET22" s="339"/>
      <c r="EU22" s="339"/>
      <c r="EV22" s="339"/>
      <c r="EW22" s="339"/>
      <c r="EX22" s="339"/>
      <c r="EY22" s="339"/>
      <c r="EZ22" s="339"/>
      <c r="FA22" s="339"/>
      <c r="FB22" s="339"/>
      <c r="FC22" s="339"/>
      <c r="FD22" s="339"/>
      <c r="FE22" s="339"/>
      <c r="FF22" s="339"/>
      <c r="FG22" s="339"/>
      <c r="FH22" s="339"/>
      <c r="FI22" s="339"/>
      <c r="FJ22" s="339"/>
      <c r="FK22" s="339"/>
      <c r="FL22" s="339"/>
      <c r="FM22" s="339"/>
      <c r="FN22" s="339"/>
      <c r="FO22" s="339"/>
      <c r="FP22" s="339"/>
      <c r="FQ22" s="339"/>
      <c r="FR22" s="339"/>
      <c r="FS22" s="339"/>
      <c r="FT22" s="339"/>
      <c r="FU22" s="339"/>
      <c r="FV22" s="339"/>
      <c r="FW22" s="339"/>
      <c r="FX22" s="339"/>
      <c r="FY22" s="339"/>
      <c r="FZ22" s="339"/>
      <c r="GA22" s="339"/>
      <c r="GB22" s="339"/>
      <c r="GC22" s="339"/>
      <c r="GD22" s="339"/>
      <c r="GE22" s="339"/>
      <c r="GF22" s="339"/>
      <c r="GG22" s="339"/>
      <c r="GH22" s="339"/>
      <c r="GI22" s="339"/>
      <c r="GJ22" s="339"/>
      <c r="GK22" s="339"/>
      <c r="GL22" s="339"/>
      <c r="GM22" s="339"/>
      <c r="GN22" s="339"/>
      <c r="GO22" s="339"/>
      <c r="GP22" s="339"/>
      <c r="GQ22" s="339"/>
      <c r="GR22" s="339"/>
      <c r="GS22" s="339"/>
      <c r="GT22" s="339"/>
      <c r="GU22" s="339"/>
      <c r="GV22" s="339"/>
      <c r="GW22" s="339"/>
      <c r="GX22" s="339"/>
      <c r="GY22" s="339"/>
      <c r="GZ22" s="339"/>
      <c r="HA22" s="339"/>
      <c r="HB22" s="339"/>
      <c r="HC22" s="339"/>
      <c r="HD22" s="339"/>
      <c r="HE22" s="339"/>
      <c r="HF22" s="339"/>
      <c r="HG22" s="339"/>
      <c r="HH22" s="339"/>
      <c r="HI22" s="339"/>
      <c r="HJ22" s="339"/>
      <c r="HK22" s="339"/>
      <c r="HL22" s="339"/>
      <c r="HM22" s="339"/>
      <c r="HN22" s="339"/>
      <c r="HO22" s="339"/>
      <c r="HP22" s="339"/>
      <c r="HQ22" s="339"/>
      <c r="HR22" s="339"/>
      <c r="HS22" s="339"/>
      <c r="HT22" s="339"/>
      <c r="HU22" s="339"/>
      <c r="HV22" s="339"/>
      <c r="HW22" s="339"/>
      <c r="HX22" s="339"/>
      <c r="HY22" s="339"/>
      <c r="HZ22" s="339"/>
      <c r="IA22" s="339"/>
      <c r="IB22" s="339"/>
      <c r="IC22" s="339"/>
      <c r="ID22" s="339"/>
      <c r="IE22" s="339"/>
      <c r="IF22" s="339"/>
      <c r="IG22" s="339"/>
      <c r="IH22" s="339"/>
      <c r="II22" s="339"/>
      <c r="IJ22" s="339"/>
      <c r="IK22" s="339"/>
      <c r="IL22" s="339"/>
      <c r="IM22" s="339"/>
      <c r="IN22" s="339"/>
      <c r="IO22" s="339"/>
      <c r="IP22" s="339"/>
      <c r="IQ22" s="339"/>
      <c r="IR22" s="339"/>
      <c r="IS22" s="339"/>
      <c r="IT22" s="339"/>
      <c r="IU22" s="339"/>
      <c r="IV22" s="339"/>
      <c r="IW22" s="339"/>
      <c r="IX22" s="339"/>
      <c r="IY22" s="339"/>
      <c r="IZ22" s="339"/>
      <c r="JA22" s="339"/>
      <c r="JB22" s="339"/>
      <c r="JC22" s="339"/>
      <c r="JD22" s="339"/>
      <c r="JE22" s="339"/>
      <c r="JF22" s="339"/>
      <c r="JG22" s="339"/>
      <c r="JH22" s="339"/>
      <c r="JI22" s="339"/>
      <c r="JJ22" s="339"/>
      <c r="JK22" s="339"/>
      <c r="JL22" s="339"/>
      <c r="JM22" s="339"/>
      <c r="JN22" s="339"/>
      <c r="JO22" s="339"/>
      <c r="JP22" s="339"/>
      <c r="JQ22" s="339"/>
      <c r="JR22" s="339"/>
      <c r="JS22" s="339"/>
      <c r="JT22" s="339"/>
      <c r="JU22" s="339"/>
      <c r="JV22" s="339"/>
      <c r="JW22" s="339"/>
      <c r="JX22" s="339"/>
      <c r="JY22" s="339"/>
      <c r="JZ22" s="339"/>
      <c r="KA22" s="339"/>
      <c r="KB22" s="339"/>
      <c r="KC22" s="339"/>
      <c r="KD22" s="339"/>
      <c r="KE22" s="339"/>
      <c r="KF22" s="339"/>
      <c r="KG22" s="339"/>
      <c r="KH22" s="339"/>
      <c r="KI22" s="339"/>
      <c r="KJ22" s="339"/>
      <c r="KK22" s="339"/>
      <c r="KL22" s="339"/>
      <c r="KM22" s="339"/>
      <c r="KN22" s="339"/>
    </row>
    <row r="23" spans="1:300">
      <c r="A23" s="1" t="s">
        <v>1</v>
      </c>
      <c r="B23" s="401" t="s">
        <v>25</v>
      </c>
      <c r="C23" s="401"/>
      <c r="D23" s="401"/>
      <c r="E23" s="401"/>
    </row>
    <row r="24" spans="1:300">
      <c r="A24" s="1" t="s">
        <v>1</v>
      </c>
      <c r="B24" s="9" t="s">
        <v>26</v>
      </c>
      <c r="C24" s="9" t="s">
        <v>27</v>
      </c>
      <c r="D24" s="9" t="s">
        <v>28</v>
      </c>
      <c r="E24" s="9" t="s">
        <v>29</v>
      </c>
    </row>
    <row r="25" spans="1:300">
      <c r="A25" s="1" t="s">
        <v>1</v>
      </c>
      <c r="B25" s="4" t="s">
        <v>30</v>
      </c>
      <c r="C25" s="4" t="s">
        <v>31</v>
      </c>
      <c r="D25" s="3">
        <v>172321.25</v>
      </c>
      <c r="E25" s="3">
        <v>100.71141178958788</v>
      </c>
    </row>
    <row r="26" spans="1:300">
      <c r="A26" s="1" t="s">
        <v>1</v>
      </c>
      <c r="B26" s="4" t="s">
        <v>30</v>
      </c>
      <c r="C26" s="4" t="s">
        <v>32</v>
      </c>
      <c r="D26" s="3">
        <v>10200.333329999999</v>
      </c>
      <c r="E26" s="3">
        <v>5.9614816535319246</v>
      </c>
    </row>
    <row r="27" spans="1:300">
      <c r="A27" s="1" t="s">
        <v>1</v>
      </c>
      <c r="B27" s="4" t="s">
        <v>30</v>
      </c>
      <c r="C27" s="4" t="s">
        <v>33</v>
      </c>
      <c r="D27" s="3">
        <v>35.333329999999997</v>
      </c>
      <c r="E27" s="3">
        <v>2.0650207374467159E-2</v>
      </c>
    </row>
    <row r="28" spans="1:300">
      <c r="A28" s="339" t="s">
        <v>1</v>
      </c>
      <c r="B28" s="339"/>
      <c r="C28" s="339"/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39"/>
      <c r="Q28" s="339"/>
      <c r="R28" s="339"/>
      <c r="S28" s="339"/>
      <c r="T28" s="339"/>
      <c r="U28" s="339"/>
      <c r="V28" s="339"/>
      <c r="W28" s="339"/>
      <c r="X28" s="339"/>
      <c r="Y28" s="339"/>
      <c r="Z28" s="339"/>
      <c r="AA28" s="339"/>
      <c r="AB28" s="339"/>
      <c r="AC28" s="339"/>
      <c r="AD28" s="339"/>
      <c r="AE28" s="339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39"/>
      <c r="AT28" s="339"/>
      <c r="AU28" s="339"/>
      <c r="AV28" s="339"/>
      <c r="AW28" s="339"/>
      <c r="AX28" s="339"/>
      <c r="AY28" s="339"/>
      <c r="AZ28" s="339"/>
      <c r="BA28" s="339"/>
      <c r="BB28" s="339"/>
      <c r="BC28" s="339"/>
      <c r="BD28" s="339"/>
      <c r="BE28" s="339"/>
      <c r="BF28" s="339"/>
      <c r="BG28" s="339"/>
      <c r="BH28" s="339"/>
      <c r="BI28" s="339"/>
      <c r="BJ28" s="339"/>
      <c r="BK28" s="339"/>
      <c r="BL28" s="339"/>
      <c r="BM28" s="339"/>
      <c r="BN28" s="339"/>
      <c r="BO28" s="339"/>
      <c r="BP28" s="339"/>
      <c r="BQ28" s="339"/>
      <c r="BR28" s="339"/>
      <c r="BS28" s="339"/>
      <c r="BT28" s="339"/>
      <c r="BU28" s="339"/>
      <c r="BV28" s="339"/>
      <c r="BW28" s="339"/>
      <c r="BX28" s="339"/>
      <c r="BY28" s="339"/>
      <c r="BZ28" s="339"/>
      <c r="CA28" s="339"/>
      <c r="CB28" s="339"/>
      <c r="CC28" s="339"/>
      <c r="CD28" s="339"/>
      <c r="CE28" s="339"/>
      <c r="CF28" s="339"/>
      <c r="CG28" s="339"/>
      <c r="CH28" s="339"/>
      <c r="CI28" s="339"/>
      <c r="CJ28" s="339"/>
      <c r="CK28" s="339"/>
      <c r="CL28" s="339"/>
      <c r="CM28" s="339"/>
      <c r="CN28" s="339"/>
      <c r="CO28" s="339"/>
      <c r="CP28" s="339"/>
      <c r="CQ28" s="339"/>
      <c r="CR28" s="339"/>
      <c r="CS28" s="339"/>
      <c r="CT28" s="339"/>
      <c r="CU28" s="339"/>
      <c r="CV28" s="339"/>
      <c r="CW28" s="339"/>
      <c r="CX28" s="339"/>
      <c r="CY28" s="339"/>
      <c r="CZ28" s="339"/>
      <c r="DA28" s="339"/>
      <c r="DB28" s="339"/>
      <c r="DC28" s="339"/>
      <c r="DD28" s="339"/>
      <c r="DE28" s="339"/>
      <c r="DF28" s="339"/>
      <c r="DG28" s="339"/>
      <c r="DH28" s="339"/>
      <c r="DI28" s="339"/>
      <c r="DJ28" s="339"/>
      <c r="DK28" s="339"/>
      <c r="DL28" s="339"/>
      <c r="DM28" s="339"/>
      <c r="DN28" s="339"/>
      <c r="DO28" s="339"/>
      <c r="DP28" s="339"/>
      <c r="DQ28" s="339"/>
      <c r="DR28" s="339"/>
      <c r="DS28" s="339"/>
      <c r="DT28" s="339"/>
      <c r="DU28" s="339"/>
      <c r="DV28" s="339"/>
      <c r="DW28" s="339"/>
      <c r="DX28" s="339"/>
      <c r="DY28" s="339"/>
      <c r="DZ28" s="339"/>
      <c r="EA28" s="339"/>
      <c r="EB28" s="339"/>
      <c r="EC28" s="339"/>
      <c r="ED28" s="339"/>
      <c r="EE28" s="339"/>
      <c r="EF28" s="339"/>
      <c r="EG28" s="339"/>
      <c r="EH28" s="339"/>
      <c r="EI28" s="339"/>
      <c r="EJ28" s="339"/>
      <c r="EK28" s="339"/>
      <c r="EL28" s="339"/>
      <c r="EM28" s="339"/>
      <c r="EN28" s="339"/>
      <c r="EO28" s="339"/>
      <c r="EP28" s="339"/>
      <c r="EQ28" s="339"/>
      <c r="ER28" s="339"/>
      <c r="ES28" s="339"/>
      <c r="ET28" s="339"/>
      <c r="EU28" s="339"/>
      <c r="EV28" s="339"/>
      <c r="EW28" s="339"/>
      <c r="EX28" s="339"/>
      <c r="EY28" s="339"/>
      <c r="EZ28" s="339"/>
      <c r="FA28" s="339"/>
      <c r="FB28" s="339"/>
      <c r="FC28" s="339"/>
      <c r="FD28" s="339"/>
      <c r="FE28" s="339"/>
      <c r="FF28" s="339"/>
      <c r="FG28" s="339"/>
      <c r="FH28" s="339"/>
      <c r="FI28" s="339"/>
      <c r="FJ28" s="339"/>
      <c r="FK28" s="339"/>
      <c r="FL28" s="339"/>
      <c r="FM28" s="339"/>
      <c r="FN28" s="339"/>
      <c r="FO28" s="339"/>
      <c r="FP28" s="339"/>
      <c r="FQ28" s="339"/>
      <c r="FR28" s="339"/>
      <c r="FS28" s="339"/>
      <c r="FT28" s="339"/>
      <c r="FU28" s="339"/>
      <c r="FV28" s="339"/>
      <c r="FW28" s="339"/>
      <c r="FX28" s="339"/>
      <c r="FY28" s="339"/>
      <c r="FZ28" s="339"/>
      <c r="GA28" s="339"/>
      <c r="GB28" s="339"/>
      <c r="GC28" s="339"/>
      <c r="GD28" s="339"/>
      <c r="GE28" s="339"/>
      <c r="GF28" s="339"/>
      <c r="GG28" s="339"/>
      <c r="GH28" s="339"/>
      <c r="GI28" s="339"/>
      <c r="GJ28" s="339"/>
      <c r="GK28" s="339"/>
      <c r="GL28" s="339"/>
      <c r="GM28" s="339"/>
      <c r="GN28" s="339"/>
      <c r="GO28" s="339"/>
      <c r="GP28" s="339"/>
      <c r="GQ28" s="339"/>
      <c r="GR28" s="339"/>
      <c r="GS28" s="339"/>
      <c r="GT28" s="339"/>
      <c r="GU28" s="339"/>
      <c r="GV28" s="339"/>
      <c r="GW28" s="339"/>
      <c r="GX28" s="339"/>
      <c r="GY28" s="339"/>
      <c r="GZ28" s="339"/>
      <c r="HA28" s="339"/>
      <c r="HB28" s="339"/>
      <c r="HC28" s="339"/>
      <c r="HD28" s="339"/>
      <c r="HE28" s="339"/>
      <c r="HF28" s="339"/>
      <c r="HG28" s="339"/>
      <c r="HH28" s="339"/>
      <c r="HI28" s="339"/>
      <c r="HJ28" s="339"/>
      <c r="HK28" s="339"/>
      <c r="HL28" s="339"/>
      <c r="HM28" s="339"/>
      <c r="HN28" s="339"/>
      <c r="HO28" s="339"/>
      <c r="HP28" s="339"/>
      <c r="HQ28" s="339"/>
      <c r="HR28" s="339"/>
      <c r="HS28" s="339"/>
      <c r="HT28" s="339"/>
      <c r="HU28" s="339"/>
      <c r="HV28" s="339"/>
      <c r="HW28" s="339"/>
      <c r="HX28" s="339"/>
      <c r="HY28" s="339"/>
      <c r="HZ28" s="339"/>
      <c r="IA28" s="339"/>
      <c r="IB28" s="339"/>
      <c r="IC28" s="339"/>
      <c r="ID28" s="339"/>
      <c r="IE28" s="339"/>
      <c r="IF28" s="339"/>
      <c r="IG28" s="339"/>
      <c r="IH28" s="339"/>
      <c r="II28" s="339"/>
      <c r="IJ28" s="339"/>
      <c r="IK28" s="339"/>
      <c r="IL28" s="339"/>
      <c r="IM28" s="339"/>
      <c r="IN28" s="339"/>
      <c r="IO28" s="339"/>
      <c r="IP28" s="339"/>
      <c r="IQ28" s="339"/>
      <c r="IR28" s="339"/>
      <c r="IS28" s="339"/>
      <c r="IT28" s="339"/>
      <c r="IU28" s="339"/>
      <c r="IV28" s="339"/>
      <c r="IW28" s="339"/>
      <c r="IX28" s="339"/>
      <c r="IY28" s="339"/>
      <c r="IZ28" s="339"/>
      <c r="JA28" s="339"/>
      <c r="JB28" s="339"/>
      <c r="JC28" s="339"/>
      <c r="JD28" s="339"/>
      <c r="JE28" s="339"/>
      <c r="JF28" s="339"/>
      <c r="JG28" s="339"/>
      <c r="JH28" s="339"/>
      <c r="JI28" s="339"/>
      <c r="JJ28" s="339"/>
      <c r="JK28" s="339"/>
      <c r="JL28" s="339"/>
      <c r="JM28" s="339"/>
      <c r="JN28" s="339"/>
      <c r="JO28" s="339"/>
      <c r="JP28" s="339"/>
      <c r="JQ28" s="339"/>
      <c r="JR28" s="339"/>
      <c r="JS28" s="339"/>
      <c r="JT28" s="339"/>
      <c r="JU28" s="339"/>
      <c r="JV28" s="339"/>
      <c r="JW28" s="339"/>
      <c r="JX28" s="339"/>
      <c r="JY28" s="339"/>
      <c r="JZ28" s="339"/>
      <c r="KA28" s="339"/>
      <c r="KB28" s="339"/>
      <c r="KC28" s="339"/>
      <c r="KD28" s="339"/>
      <c r="KE28" s="339"/>
      <c r="KF28" s="339"/>
      <c r="KG28" s="339"/>
      <c r="KH28" s="339"/>
      <c r="KI28" s="339"/>
      <c r="KJ28" s="339"/>
      <c r="KK28" s="339"/>
      <c r="KL28" s="339"/>
      <c r="KM28" s="339"/>
      <c r="KN28" s="339"/>
    </row>
    <row r="29" spans="1:300">
      <c r="A29" s="1" t="s">
        <v>1</v>
      </c>
      <c r="B29" s="401" t="s">
        <v>34</v>
      </c>
      <c r="C29" s="401"/>
      <c r="D29" s="401"/>
      <c r="E29" s="401"/>
      <c r="F29" s="401"/>
      <c r="G29" s="401"/>
    </row>
    <row r="30" spans="1:300">
      <c r="A30" s="1" t="s">
        <v>1</v>
      </c>
      <c r="B30" s="9" t="s">
        <v>35</v>
      </c>
      <c r="C30" s="9" t="s">
        <v>34</v>
      </c>
      <c r="D30" s="9" t="s">
        <v>36</v>
      </c>
      <c r="E30" s="402" t="s">
        <v>37</v>
      </c>
      <c r="F30" s="402"/>
      <c r="G30" s="402"/>
    </row>
    <row r="31" spans="1:300">
      <c r="A31" s="1" t="s">
        <v>1</v>
      </c>
      <c r="B31" s="4" t="s">
        <v>64</v>
      </c>
      <c r="C31" s="4" t="s">
        <v>39</v>
      </c>
      <c r="D31" s="4" t="s">
        <v>40</v>
      </c>
      <c r="E31" s="341" t="s">
        <v>109</v>
      </c>
      <c r="F31" s="341"/>
      <c r="G31" s="341"/>
    </row>
    <row r="32" spans="1:300">
      <c r="A32" s="1" t="s">
        <v>1</v>
      </c>
      <c r="B32" s="4" t="s">
        <v>110</v>
      </c>
      <c r="C32" s="4" t="s">
        <v>39</v>
      </c>
      <c r="D32" s="4" t="s">
        <v>40</v>
      </c>
      <c r="E32" s="341" t="s">
        <v>111</v>
      </c>
      <c r="F32" s="341"/>
      <c r="G32" s="341"/>
    </row>
    <row r="33" spans="1:300">
      <c r="A33" s="339" t="s">
        <v>1</v>
      </c>
      <c r="B33" s="339"/>
      <c r="C33" s="339"/>
      <c r="D33" s="339"/>
      <c r="E33" s="339"/>
      <c r="F33" s="339"/>
      <c r="G33" s="339"/>
      <c r="H33" s="339"/>
      <c r="I33" s="339"/>
      <c r="J33" s="339"/>
      <c r="K33" s="339"/>
      <c r="L33" s="339"/>
      <c r="M33" s="339"/>
      <c r="N33" s="339"/>
      <c r="O33" s="339"/>
      <c r="P33" s="339"/>
      <c r="Q33" s="339"/>
      <c r="R33" s="339"/>
      <c r="S33" s="339"/>
      <c r="T33" s="339"/>
      <c r="U33" s="339"/>
      <c r="V33" s="339"/>
      <c r="W33" s="339"/>
      <c r="X33" s="339"/>
      <c r="Y33" s="339"/>
      <c r="Z33" s="339"/>
      <c r="AA33" s="339"/>
      <c r="AB33" s="339"/>
      <c r="AC33" s="339"/>
      <c r="AD33" s="339"/>
      <c r="AE33" s="339"/>
      <c r="AF33" s="339"/>
      <c r="AG33" s="339"/>
      <c r="AH33" s="339"/>
      <c r="AI33" s="339"/>
      <c r="AJ33" s="339"/>
      <c r="AK33" s="339"/>
      <c r="AL33" s="339"/>
      <c r="AM33" s="339"/>
      <c r="AN33" s="339"/>
      <c r="AO33" s="339"/>
      <c r="AP33" s="339"/>
      <c r="AQ33" s="339"/>
      <c r="AR33" s="339"/>
      <c r="AS33" s="339"/>
      <c r="AT33" s="339"/>
      <c r="AU33" s="339"/>
      <c r="AV33" s="339"/>
      <c r="AW33" s="339"/>
      <c r="AX33" s="339"/>
      <c r="AY33" s="339"/>
      <c r="AZ33" s="339"/>
      <c r="BA33" s="339"/>
      <c r="BB33" s="339"/>
      <c r="BC33" s="339"/>
      <c r="BD33" s="339"/>
      <c r="BE33" s="339"/>
      <c r="BF33" s="339"/>
      <c r="BG33" s="339"/>
      <c r="BH33" s="339"/>
      <c r="BI33" s="339"/>
      <c r="BJ33" s="339"/>
      <c r="BK33" s="339"/>
      <c r="BL33" s="339"/>
      <c r="BM33" s="339"/>
      <c r="BN33" s="339"/>
      <c r="BO33" s="339"/>
      <c r="BP33" s="339"/>
      <c r="BQ33" s="339"/>
      <c r="BR33" s="339"/>
      <c r="BS33" s="339"/>
      <c r="BT33" s="339"/>
      <c r="BU33" s="339"/>
      <c r="BV33" s="339"/>
      <c r="BW33" s="339"/>
      <c r="BX33" s="339"/>
      <c r="BY33" s="339"/>
      <c r="BZ33" s="339"/>
      <c r="CA33" s="339"/>
      <c r="CB33" s="339"/>
      <c r="CC33" s="339"/>
      <c r="CD33" s="339"/>
      <c r="CE33" s="339"/>
      <c r="CF33" s="339"/>
      <c r="CG33" s="339"/>
      <c r="CH33" s="339"/>
      <c r="CI33" s="339"/>
      <c r="CJ33" s="339"/>
      <c r="CK33" s="339"/>
      <c r="CL33" s="339"/>
      <c r="CM33" s="339"/>
      <c r="CN33" s="339"/>
      <c r="CO33" s="339"/>
      <c r="CP33" s="339"/>
      <c r="CQ33" s="339"/>
      <c r="CR33" s="339"/>
      <c r="CS33" s="339"/>
      <c r="CT33" s="339"/>
      <c r="CU33" s="339"/>
      <c r="CV33" s="339"/>
      <c r="CW33" s="339"/>
      <c r="CX33" s="339"/>
      <c r="CY33" s="339"/>
      <c r="CZ33" s="339"/>
      <c r="DA33" s="339"/>
      <c r="DB33" s="339"/>
      <c r="DC33" s="339"/>
      <c r="DD33" s="339"/>
      <c r="DE33" s="339"/>
      <c r="DF33" s="339"/>
      <c r="DG33" s="339"/>
      <c r="DH33" s="339"/>
      <c r="DI33" s="339"/>
      <c r="DJ33" s="339"/>
      <c r="DK33" s="339"/>
      <c r="DL33" s="339"/>
      <c r="DM33" s="339"/>
      <c r="DN33" s="339"/>
      <c r="DO33" s="339"/>
      <c r="DP33" s="339"/>
      <c r="DQ33" s="339"/>
      <c r="DR33" s="339"/>
      <c r="DS33" s="339"/>
      <c r="DT33" s="339"/>
      <c r="DU33" s="339"/>
      <c r="DV33" s="339"/>
      <c r="DW33" s="339"/>
      <c r="DX33" s="339"/>
      <c r="DY33" s="339"/>
      <c r="DZ33" s="339"/>
      <c r="EA33" s="339"/>
      <c r="EB33" s="339"/>
      <c r="EC33" s="339"/>
      <c r="ED33" s="339"/>
      <c r="EE33" s="339"/>
      <c r="EF33" s="339"/>
      <c r="EG33" s="339"/>
      <c r="EH33" s="339"/>
      <c r="EI33" s="339"/>
      <c r="EJ33" s="339"/>
      <c r="EK33" s="339"/>
      <c r="EL33" s="339"/>
      <c r="EM33" s="339"/>
      <c r="EN33" s="339"/>
      <c r="EO33" s="339"/>
      <c r="EP33" s="339"/>
      <c r="EQ33" s="339"/>
      <c r="ER33" s="339"/>
      <c r="ES33" s="339"/>
      <c r="ET33" s="339"/>
      <c r="EU33" s="339"/>
      <c r="EV33" s="339"/>
      <c r="EW33" s="339"/>
      <c r="EX33" s="339"/>
      <c r="EY33" s="339"/>
      <c r="EZ33" s="339"/>
      <c r="FA33" s="339"/>
      <c r="FB33" s="339"/>
      <c r="FC33" s="339"/>
      <c r="FD33" s="339"/>
      <c r="FE33" s="339"/>
      <c r="FF33" s="339"/>
      <c r="FG33" s="339"/>
      <c r="FH33" s="339"/>
      <c r="FI33" s="339"/>
      <c r="FJ33" s="339"/>
      <c r="FK33" s="339"/>
      <c r="FL33" s="339"/>
      <c r="FM33" s="339"/>
      <c r="FN33" s="339"/>
      <c r="FO33" s="339"/>
      <c r="FP33" s="339"/>
      <c r="FQ33" s="339"/>
      <c r="FR33" s="339"/>
      <c r="FS33" s="339"/>
      <c r="FT33" s="339"/>
      <c r="FU33" s="339"/>
      <c r="FV33" s="339"/>
      <c r="FW33" s="339"/>
      <c r="FX33" s="339"/>
      <c r="FY33" s="339"/>
      <c r="FZ33" s="339"/>
      <c r="GA33" s="339"/>
      <c r="GB33" s="339"/>
      <c r="GC33" s="339"/>
      <c r="GD33" s="339"/>
      <c r="GE33" s="339"/>
      <c r="GF33" s="339"/>
      <c r="GG33" s="339"/>
      <c r="GH33" s="339"/>
      <c r="GI33" s="339"/>
      <c r="GJ33" s="339"/>
      <c r="GK33" s="339"/>
      <c r="GL33" s="339"/>
      <c r="GM33" s="339"/>
      <c r="GN33" s="339"/>
      <c r="GO33" s="339"/>
      <c r="GP33" s="339"/>
      <c r="GQ33" s="339"/>
      <c r="GR33" s="339"/>
      <c r="GS33" s="339"/>
      <c r="GT33" s="339"/>
      <c r="GU33" s="339"/>
      <c r="GV33" s="339"/>
      <c r="GW33" s="339"/>
      <c r="GX33" s="339"/>
      <c r="GY33" s="339"/>
      <c r="GZ33" s="339"/>
      <c r="HA33" s="339"/>
      <c r="HB33" s="339"/>
      <c r="HC33" s="339"/>
      <c r="HD33" s="339"/>
      <c r="HE33" s="339"/>
      <c r="HF33" s="339"/>
      <c r="HG33" s="339"/>
      <c r="HH33" s="339"/>
      <c r="HI33" s="339"/>
      <c r="HJ33" s="339"/>
      <c r="HK33" s="339"/>
      <c r="HL33" s="339"/>
      <c r="HM33" s="339"/>
      <c r="HN33" s="339"/>
      <c r="HO33" s="339"/>
      <c r="HP33" s="339"/>
      <c r="HQ33" s="339"/>
      <c r="HR33" s="339"/>
      <c r="HS33" s="339"/>
      <c r="HT33" s="339"/>
      <c r="HU33" s="339"/>
      <c r="HV33" s="339"/>
      <c r="HW33" s="339"/>
      <c r="HX33" s="339"/>
      <c r="HY33" s="339"/>
      <c r="HZ33" s="339"/>
      <c r="IA33" s="339"/>
      <c r="IB33" s="339"/>
      <c r="IC33" s="339"/>
      <c r="ID33" s="339"/>
      <c r="IE33" s="339"/>
      <c r="IF33" s="339"/>
      <c r="IG33" s="339"/>
      <c r="IH33" s="339"/>
      <c r="II33" s="339"/>
      <c r="IJ33" s="339"/>
      <c r="IK33" s="339"/>
      <c r="IL33" s="339"/>
      <c r="IM33" s="339"/>
      <c r="IN33" s="339"/>
      <c r="IO33" s="339"/>
      <c r="IP33" s="339"/>
      <c r="IQ33" s="339"/>
      <c r="IR33" s="339"/>
      <c r="IS33" s="339"/>
      <c r="IT33" s="339"/>
      <c r="IU33" s="339"/>
      <c r="IV33" s="339"/>
      <c r="IW33" s="339"/>
      <c r="IX33" s="339"/>
      <c r="IY33" s="339"/>
      <c r="IZ33" s="339"/>
      <c r="JA33" s="339"/>
      <c r="JB33" s="339"/>
      <c r="JC33" s="339"/>
      <c r="JD33" s="339"/>
      <c r="JE33" s="339"/>
      <c r="JF33" s="339"/>
      <c r="JG33" s="339"/>
      <c r="JH33" s="339"/>
      <c r="JI33" s="339"/>
      <c r="JJ33" s="339"/>
      <c r="JK33" s="339"/>
      <c r="JL33" s="339"/>
      <c r="JM33" s="339"/>
      <c r="JN33" s="339"/>
      <c r="JO33" s="339"/>
      <c r="JP33" s="339"/>
      <c r="JQ33" s="339"/>
      <c r="JR33" s="339"/>
      <c r="JS33" s="339"/>
      <c r="JT33" s="339"/>
      <c r="JU33" s="339"/>
      <c r="JV33" s="339"/>
      <c r="JW33" s="339"/>
      <c r="JX33" s="339"/>
      <c r="JY33" s="339"/>
      <c r="JZ33" s="339"/>
      <c r="KA33" s="339"/>
      <c r="KB33" s="339"/>
      <c r="KC33" s="339"/>
      <c r="KD33" s="339"/>
      <c r="KE33" s="339"/>
      <c r="KF33" s="339"/>
      <c r="KG33" s="339"/>
      <c r="KH33" s="339"/>
      <c r="KI33" s="339"/>
      <c r="KJ33" s="339"/>
      <c r="KK33" s="339"/>
      <c r="KL33" s="339"/>
      <c r="KM33" s="339"/>
      <c r="KN33" s="339"/>
    </row>
    <row r="34" spans="1:300">
      <c r="A34" s="401" t="s">
        <v>46</v>
      </c>
      <c r="B34" s="401"/>
      <c r="C34" s="401"/>
      <c r="D34" s="401"/>
      <c r="E34" s="401"/>
      <c r="F34" s="401"/>
      <c r="G34" s="401"/>
      <c r="H34" s="401"/>
      <c r="I34" s="401"/>
      <c r="J34" s="401"/>
      <c r="K34" s="401"/>
    </row>
    <row r="35" spans="1:300">
      <c r="A35" s="401" t="s">
        <v>47</v>
      </c>
      <c r="B35" s="401"/>
      <c r="C35" s="401"/>
      <c r="D35" s="401"/>
      <c r="E35" s="401"/>
      <c r="F35" s="401"/>
      <c r="G35" s="401"/>
      <c r="H35" s="401"/>
      <c r="I35" s="401"/>
      <c r="J35" s="401"/>
      <c r="K35" s="401"/>
    </row>
    <row r="36" spans="1:300">
      <c r="A36" s="9" t="s">
        <v>1</v>
      </c>
      <c r="B36" s="9" t="s">
        <v>48</v>
      </c>
      <c r="C36" s="9" t="s">
        <v>49</v>
      </c>
      <c r="D36" s="9" t="s">
        <v>50</v>
      </c>
      <c r="E36" s="9" t="s">
        <v>51</v>
      </c>
      <c r="F36" s="9" t="s">
        <v>52</v>
      </c>
      <c r="G36" s="9" t="s">
        <v>53</v>
      </c>
      <c r="H36" s="9" t="s">
        <v>54</v>
      </c>
      <c r="I36" s="9" t="s">
        <v>55</v>
      </c>
      <c r="J36" s="9" t="s">
        <v>56</v>
      </c>
      <c r="K36" s="9" t="s">
        <v>57</v>
      </c>
    </row>
    <row r="37" spans="1:300">
      <c r="A37" s="4" t="s">
        <v>58</v>
      </c>
      <c r="B37" s="4" t="s">
        <v>59</v>
      </c>
      <c r="C37" s="4" t="s">
        <v>59</v>
      </c>
      <c r="D37" s="4" t="s">
        <v>60</v>
      </c>
      <c r="E37" s="3">
        <v>145386</v>
      </c>
      <c r="F37" s="3">
        <v>-15.0306226629564</v>
      </c>
      <c r="G37" s="3">
        <v>145536</v>
      </c>
      <c r="H37" s="5">
        <v>36</v>
      </c>
      <c r="I37" s="4" t="s">
        <v>61</v>
      </c>
      <c r="J37" s="4" t="s">
        <v>40</v>
      </c>
      <c r="K37" s="3">
        <v>16.633842072139501</v>
      </c>
    </row>
    <row r="38" spans="1:300">
      <c r="A38" s="4" t="s">
        <v>58</v>
      </c>
      <c r="B38" s="4" t="s">
        <v>62</v>
      </c>
      <c r="C38" s="4" t="s">
        <v>63</v>
      </c>
      <c r="D38" s="4" t="s">
        <v>60</v>
      </c>
      <c r="E38" s="3">
        <v>181060.6</v>
      </c>
      <c r="F38" s="3">
        <v>5.8190365115727598</v>
      </c>
      <c r="G38" s="3">
        <v>178102</v>
      </c>
      <c r="H38" s="5">
        <v>37</v>
      </c>
      <c r="I38" s="4" t="s">
        <v>64</v>
      </c>
      <c r="J38" s="4" t="s">
        <v>40</v>
      </c>
      <c r="K38" s="3">
        <v>13.8725048643165</v>
      </c>
    </row>
    <row r="39" spans="1:300">
      <c r="A39" s="4" t="s">
        <v>58</v>
      </c>
      <c r="B39" s="4" t="s">
        <v>59</v>
      </c>
      <c r="C39" s="4" t="s">
        <v>59</v>
      </c>
      <c r="D39" s="4" t="s">
        <v>65</v>
      </c>
      <c r="E39" s="3">
        <v>171800.5</v>
      </c>
      <c r="F39" s="3">
        <v>0.40706471869890498</v>
      </c>
      <c r="G39" s="3">
        <v>173838</v>
      </c>
      <c r="H39" s="5">
        <v>37</v>
      </c>
      <c r="I39" s="4" t="s">
        <v>64</v>
      </c>
      <c r="J39" s="4" t="s">
        <v>66</v>
      </c>
      <c r="K39" s="3">
        <v>11.384451489999099</v>
      </c>
    </row>
    <row r="40" spans="1:300" outlineLevel="1">
      <c r="A40" s="7" t="s">
        <v>1</v>
      </c>
      <c r="B40" s="7" t="s">
        <v>67</v>
      </c>
      <c r="C40" s="7" t="s">
        <v>1</v>
      </c>
      <c r="D40" s="7" t="s">
        <v>1</v>
      </c>
      <c r="E40" s="6">
        <v>171800</v>
      </c>
      <c r="F40" s="6" t="s">
        <v>1</v>
      </c>
      <c r="G40" s="6" t="s">
        <v>40</v>
      </c>
      <c r="H40" s="8">
        <v>37</v>
      </c>
      <c r="I40" s="7" t="s">
        <v>64</v>
      </c>
      <c r="J40" s="7" t="s">
        <v>40</v>
      </c>
      <c r="K40" s="6" t="s">
        <v>1</v>
      </c>
    </row>
    <row r="41" spans="1:300">
      <c r="A41" s="4" t="s">
        <v>58</v>
      </c>
      <c r="B41" s="4" t="s">
        <v>59</v>
      </c>
      <c r="C41" s="4" t="s">
        <v>59</v>
      </c>
      <c r="D41" s="4" t="s">
        <v>65</v>
      </c>
      <c r="E41" s="3">
        <v>173473.4</v>
      </c>
      <c r="F41" s="3">
        <v>1.38477420480582</v>
      </c>
      <c r="G41" s="3">
        <v>177691.5</v>
      </c>
      <c r="H41" s="5">
        <v>36</v>
      </c>
      <c r="I41" s="4" t="s">
        <v>61</v>
      </c>
      <c r="J41" s="4" t="s">
        <v>40</v>
      </c>
      <c r="K41" s="3">
        <v>11.3184630286498</v>
      </c>
    </row>
    <row r="42" spans="1:300" outlineLevel="1">
      <c r="A42" s="7" t="s">
        <v>1</v>
      </c>
      <c r="B42" s="7" t="s">
        <v>67</v>
      </c>
      <c r="C42" s="7" t="s">
        <v>1</v>
      </c>
      <c r="D42" s="7" t="s">
        <v>1</v>
      </c>
      <c r="E42" s="6">
        <v>173845</v>
      </c>
      <c r="F42" s="6" t="s">
        <v>1</v>
      </c>
      <c r="G42" s="6" t="s">
        <v>40</v>
      </c>
      <c r="H42" s="8">
        <v>127</v>
      </c>
      <c r="I42" s="7" t="s">
        <v>68</v>
      </c>
      <c r="J42" s="7" t="s">
        <v>40</v>
      </c>
      <c r="K42" s="6" t="s">
        <v>1</v>
      </c>
    </row>
    <row r="43" spans="1:300">
      <c r="A43" s="4" t="s">
        <v>58</v>
      </c>
      <c r="B43" s="4" t="s">
        <v>69</v>
      </c>
      <c r="C43" s="4" t="s">
        <v>70</v>
      </c>
      <c r="D43" s="4" t="s">
        <v>71</v>
      </c>
      <c r="E43" s="3">
        <v>171758</v>
      </c>
      <c r="F43" s="3">
        <v>0.382226023523136</v>
      </c>
      <c r="G43" s="3">
        <v>173757</v>
      </c>
      <c r="H43" s="5">
        <v>29</v>
      </c>
      <c r="I43" s="4" t="s">
        <v>72</v>
      </c>
      <c r="J43" s="4" t="s">
        <v>40</v>
      </c>
      <c r="K43" s="3">
        <v>10.856204526910201</v>
      </c>
    </row>
    <row r="44" spans="1:300">
      <c r="A44" s="4" t="s">
        <v>58</v>
      </c>
      <c r="B44" s="4" t="s">
        <v>59</v>
      </c>
      <c r="C44" s="4" t="s">
        <v>59</v>
      </c>
      <c r="D44" s="4" t="s">
        <v>71</v>
      </c>
      <c r="E44" s="3">
        <v>172656</v>
      </c>
      <c r="F44" s="3">
        <v>0.90705304158997302</v>
      </c>
      <c r="G44" s="3">
        <v>165215</v>
      </c>
      <c r="H44" s="5">
        <v>33</v>
      </c>
      <c r="I44" s="4" t="s">
        <v>73</v>
      </c>
      <c r="J44" s="4" t="s">
        <v>74</v>
      </c>
      <c r="K44" s="3">
        <v>9.8765557755170903</v>
      </c>
    </row>
    <row r="45" spans="1:300" outlineLevel="1">
      <c r="A45" s="7" t="s">
        <v>1</v>
      </c>
      <c r="B45" s="7" t="s">
        <v>67</v>
      </c>
      <c r="C45" s="7" t="s">
        <v>1</v>
      </c>
      <c r="D45" s="7" t="s">
        <v>1</v>
      </c>
      <c r="E45" s="6">
        <v>172656</v>
      </c>
      <c r="F45" s="6" t="s">
        <v>1</v>
      </c>
      <c r="G45" s="6" t="s">
        <v>40</v>
      </c>
      <c r="H45" s="8">
        <v>33</v>
      </c>
      <c r="I45" s="7" t="s">
        <v>73</v>
      </c>
      <c r="J45" s="7" t="s">
        <v>40</v>
      </c>
      <c r="K45" s="6" t="s">
        <v>1</v>
      </c>
    </row>
    <row r="46" spans="1:300">
      <c r="A46" s="4" t="s">
        <v>58</v>
      </c>
      <c r="B46" s="4" t="s">
        <v>75</v>
      </c>
      <c r="C46" s="4" t="s">
        <v>76</v>
      </c>
      <c r="D46" s="4" t="s">
        <v>71</v>
      </c>
      <c r="E46" s="3">
        <v>169305</v>
      </c>
      <c r="F46" s="3">
        <v>-1.0514050180336001</v>
      </c>
      <c r="G46" s="3">
        <v>165975</v>
      </c>
      <c r="H46" s="5">
        <v>32</v>
      </c>
      <c r="I46" s="4" t="s">
        <v>77</v>
      </c>
      <c r="J46" s="4" t="s">
        <v>40</v>
      </c>
      <c r="K46" s="3">
        <v>11.1676564935869</v>
      </c>
    </row>
    <row r="47" spans="1:300" outlineLevel="1">
      <c r="A47" s="7" t="s">
        <v>1</v>
      </c>
      <c r="B47" s="7" t="s">
        <v>67</v>
      </c>
      <c r="C47" s="7" t="s">
        <v>1</v>
      </c>
      <c r="D47" s="7" t="s">
        <v>1</v>
      </c>
      <c r="E47" s="6">
        <v>169400</v>
      </c>
      <c r="F47" s="6" t="s">
        <v>1</v>
      </c>
      <c r="G47" s="6" t="s">
        <v>40</v>
      </c>
      <c r="H47" s="8">
        <v>32</v>
      </c>
      <c r="I47" s="7" t="s">
        <v>77</v>
      </c>
      <c r="J47" s="7" t="s">
        <v>40</v>
      </c>
      <c r="K47" s="6" t="s">
        <v>1</v>
      </c>
    </row>
    <row r="48" spans="1:300" outlineLevel="1">
      <c r="A48" s="7" t="s">
        <v>1</v>
      </c>
      <c r="B48" s="7" t="s">
        <v>78</v>
      </c>
      <c r="C48" s="7" t="s">
        <v>1</v>
      </c>
      <c r="D48" s="7" t="s">
        <v>1</v>
      </c>
      <c r="E48" s="6">
        <v>10211</v>
      </c>
      <c r="F48" s="6" t="s">
        <v>1</v>
      </c>
      <c r="G48" s="6" t="s">
        <v>40</v>
      </c>
      <c r="H48" s="8">
        <v>32</v>
      </c>
      <c r="I48" s="7" t="s">
        <v>77</v>
      </c>
      <c r="J48" s="7" t="s">
        <v>40</v>
      </c>
      <c r="K48" s="6" t="s">
        <v>1</v>
      </c>
    </row>
    <row r="49" spans="1:300" outlineLevel="1">
      <c r="A49" s="7" t="s">
        <v>1</v>
      </c>
      <c r="B49" s="7" t="s">
        <v>79</v>
      </c>
      <c r="C49" s="7" t="s">
        <v>1</v>
      </c>
      <c r="D49" s="7" t="s">
        <v>1</v>
      </c>
      <c r="E49" s="6">
        <v>2</v>
      </c>
      <c r="F49" s="6" t="s">
        <v>1</v>
      </c>
      <c r="G49" s="6" t="s">
        <v>40</v>
      </c>
      <c r="H49" s="8">
        <v>117</v>
      </c>
      <c r="I49" s="7" t="s">
        <v>80</v>
      </c>
      <c r="J49" s="7" t="s">
        <v>40</v>
      </c>
      <c r="K49" s="6" t="s">
        <v>1</v>
      </c>
    </row>
    <row r="50" spans="1:300">
      <c r="A50" s="4" t="s">
        <v>58</v>
      </c>
      <c r="B50" s="4" t="s">
        <v>59</v>
      </c>
      <c r="C50" s="4" t="s">
        <v>59</v>
      </c>
      <c r="D50" s="4" t="s">
        <v>71</v>
      </c>
      <c r="E50" s="3">
        <v>169060.46</v>
      </c>
      <c r="F50" s="3">
        <v>-1.1943239478755501</v>
      </c>
      <c r="G50" s="3">
        <v>169954.58</v>
      </c>
      <c r="H50" s="5">
        <v>36</v>
      </c>
      <c r="I50" s="4" t="s">
        <v>61</v>
      </c>
      <c r="J50" s="4" t="s">
        <v>81</v>
      </c>
      <c r="K50" s="3">
        <v>5.3247090315981298</v>
      </c>
    </row>
    <row r="51" spans="1:300">
      <c r="A51" s="4" t="s">
        <v>58</v>
      </c>
      <c r="B51" s="4" t="s">
        <v>82</v>
      </c>
      <c r="C51" s="4" t="s">
        <v>83</v>
      </c>
      <c r="D51" s="4" t="s">
        <v>71</v>
      </c>
      <c r="E51" s="3">
        <v>191300</v>
      </c>
      <c r="F51" s="3">
        <v>11.803350285284999</v>
      </c>
      <c r="G51" s="3">
        <v>182900</v>
      </c>
      <c r="H51" s="5">
        <v>124</v>
      </c>
      <c r="I51" s="4" t="s">
        <v>112</v>
      </c>
      <c r="J51" s="4" t="s">
        <v>61</v>
      </c>
      <c r="K51" s="3" t="s">
        <v>113</v>
      </c>
    </row>
    <row r="52" spans="1:300" outlineLevel="1">
      <c r="A52" s="7" t="s">
        <v>1</v>
      </c>
      <c r="B52" s="7" t="s">
        <v>67</v>
      </c>
      <c r="C52" s="7" t="s">
        <v>1</v>
      </c>
      <c r="D52" s="7" t="s">
        <v>1</v>
      </c>
      <c r="E52" s="6">
        <v>191200</v>
      </c>
      <c r="F52" s="6" t="s">
        <v>1</v>
      </c>
      <c r="G52" s="6" t="s">
        <v>40</v>
      </c>
      <c r="H52" s="8">
        <v>124</v>
      </c>
      <c r="I52" s="7" t="s">
        <v>112</v>
      </c>
      <c r="J52" s="7" t="s">
        <v>61</v>
      </c>
      <c r="K52" s="6" t="s">
        <v>1</v>
      </c>
    </row>
    <row r="53" spans="1:300" outlineLevel="1">
      <c r="A53" s="7" t="s">
        <v>1</v>
      </c>
      <c r="B53" s="7" t="s">
        <v>78</v>
      </c>
      <c r="C53" s="7" t="s">
        <v>1</v>
      </c>
      <c r="D53" s="7" t="s">
        <v>1</v>
      </c>
      <c r="E53" s="6">
        <v>10500</v>
      </c>
      <c r="F53" s="6" t="s">
        <v>1</v>
      </c>
      <c r="G53" s="6" t="s">
        <v>40</v>
      </c>
      <c r="H53" s="8">
        <v>124</v>
      </c>
      <c r="I53" s="7" t="s">
        <v>112</v>
      </c>
      <c r="J53" s="7" t="s">
        <v>61</v>
      </c>
      <c r="K53" s="6" t="s">
        <v>1</v>
      </c>
    </row>
    <row r="54" spans="1:300" outlineLevel="1">
      <c r="A54" s="7" t="s">
        <v>1</v>
      </c>
      <c r="B54" s="7" t="s">
        <v>79</v>
      </c>
      <c r="C54" s="7" t="s">
        <v>1</v>
      </c>
      <c r="D54" s="7" t="s">
        <v>1</v>
      </c>
      <c r="E54" s="6">
        <v>100</v>
      </c>
      <c r="F54" s="6" t="s">
        <v>1</v>
      </c>
      <c r="G54" s="6" t="s">
        <v>40</v>
      </c>
      <c r="H54" s="8">
        <v>36</v>
      </c>
      <c r="I54" s="7" t="s">
        <v>61</v>
      </c>
      <c r="J54" s="7" t="s">
        <v>40</v>
      </c>
      <c r="K54" s="6" t="s">
        <v>1</v>
      </c>
    </row>
    <row r="55" spans="1:300">
      <c r="A55" s="4" t="s">
        <v>58</v>
      </c>
      <c r="B55" s="4" t="s">
        <v>59</v>
      </c>
      <c r="C55" s="4" t="s">
        <v>59</v>
      </c>
      <c r="D55" s="4" t="s">
        <v>84</v>
      </c>
      <c r="E55" s="3">
        <v>165240</v>
      </c>
      <c r="F55" s="3">
        <v>-3.4271531566101001</v>
      </c>
      <c r="G55" s="3">
        <v>161786</v>
      </c>
      <c r="H55" s="5">
        <v>36</v>
      </c>
      <c r="I55" s="4" t="s">
        <v>61</v>
      </c>
      <c r="J55" s="4" t="s">
        <v>114</v>
      </c>
      <c r="K55" s="3">
        <v>9.5656127172827006</v>
      </c>
    </row>
    <row r="56" spans="1:300" outlineLevel="1">
      <c r="A56" s="7" t="s">
        <v>1</v>
      </c>
      <c r="B56" s="7" t="s">
        <v>67</v>
      </c>
      <c r="C56" s="7" t="s">
        <v>1</v>
      </c>
      <c r="D56" s="7" t="s">
        <v>1</v>
      </c>
      <c r="E56" s="6">
        <v>165240</v>
      </c>
      <c r="F56" s="6" t="s">
        <v>1</v>
      </c>
      <c r="G56" s="6" t="s">
        <v>40</v>
      </c>
      <c r="H56" s="8">
        <v>36</v>
      </c>
      <c r="I56" s="7" t="s">
        <v>61</v>
      </c>
      <c r="J56" s="7" t="s">
        <v>40</v>
      </c>
      <c r="K56" s="6" t="s">
        <v>1</v>
      </c>
    </row>
    <row r="57" spans="1:300">
      <c r="A57" s="13" t="s">
        <v>1</v>
      </c>
      <c r="B57" s="13" t="s">
        <v>14</v>
      </c>
      <c r="C57" s="13" t="s">
        <v>1</v>
      </c>
      <c r="D57" s="13" t="s">
        <v>1</v>
      </c>
      <c r="E57" s="12">
        <v>167908.46734999999</v>
      </c>
      <c r="F57" s="12">
        <v>-1.8680000000000001</v>
      </c>
      <c r="G57" s="12" t="s">
        <v>40</v>
      </c>
      <c r="H57" s="12" t="s">
        <v>1</v>
      </c>
      <c r="I57" s="13" t="s">
        <v>1</v>
      </c>
      <c r="J57" s="13" t="s">
        <v>1</v>
      </c>
      <c r="K57" s="12" t="s">
        <v>1</v>
      </c>
    </row>
    <row r="58" spans="1:300">
      <c r="A58" s="11" t="s">
        <v>1</v>
      </c>
      <c r="B58" s="11" t="s">
        <v>15</v>
      </c>
      <c r="C58" s="11" t="s">
        <v>1</v>
      </c>
      <c r="D58" s="11" t="s">
        <v>1</v>
      </c>
      <c r="E58" s="10">
        <v>171103.99600000001</v>
      </c>
      <c r="F58" s="10" t="s">
        <v>1</v>
      </c>
      <c r="G58" s="10" t="s">
        <v>40</v>
      </c>
      <c r="H58" s="10" t="s">
        <v>1</v>
      </c>
      <c r="I58" s="11" t="s">
        <v>1</v>
      </c>
      <c r="J58" s="11" t="s">
        <v>1</v>
      </c>
      <c r="K58" s="10" t="s">
        <v>1</v>
      </c>
    </row>
    <row r="59" spans="1:300">
      <c r="A59" s="339" t="s">
        <v>1</v>
      </c>
      <c r="B59" s="339"/>
      <c r="C59" s="339"/>
      <c r="D59" s="339"/>
      <c r="E59" s="339"/>
      <c r="F59" s="339"/>
      <c r="G59" s="339"/>
      <c r="H59" s="339"/>
      <c r="I59" s="339"/>
      <c r="J59" s="339"/>
      <c r="K59" s="339"/>
      <c r="L59" s="339"/>
      <c r="M59" s="339"/>
      <c r="N59" s="339"/>
      <c r="O59" s="339"/>
      <c r="P59" s="339"/>
      <c r="Q59" s="339"/>
      <c r="R59" s="339"/>
      <c r="S59" s="339"/>
      <c r="T59" s="339"/>
      <c r="U59" s="339"/>
      <c r="V59" s="339"/>
      <c r="W59" s="339"/>
      <c r="X59" s="339"/>
      <c r="Y59" s="339"/>
      <c r="Z59" s="339"/>
      <c r="AA59" s="339"/>
      <c r="AB59" s="339"/>
      <c r="AC59" s="339"/>
      <c r="AD59" s="339"/>
      <c r="AE59" s="339"/>
      <c r="AF59" s="339"/>
      <c r="AG59" s="339"/>
      <c r="AH59" s="339"/>
      <c r="AI59" s="339"/>
      <c r="AJ59" s="339"/>
      <c r="AK59" s="339"/>
      <c r="AL59" s="339"/>
      <c r="AM59" s="339"/>
      <c r="AN59" s="339"/>
      <c r="AO59" s="339"/>
      <c r="AP59" s="339"/>
      <c r="AQ59" s="339"/>
      <c r="AR59" s="339"/>
      <c r="AS59" s="339"/>
      <c r="AT59" s="339"/>
      <c r="AU59" s="339"/>
      <c r="AV59" s="339"/>
      <c r="AW59" s="339"/>
      <c r="AX59" s="339"/>
      <c r="AY59" s="339"/>
      <c r="AZ59" s="339"/>
      <c r="BA59" s="339"/>
      <c r="BB59" s="339"/>
      <c r="BC59" s="339"/>
      <c r="BD59" s="339"/>
      <c r="BE59" s="339"/>
      <c r="BF59" s="339"/>
      <c r="BG59" s="339"/>
      <c r="BH59" s="339"/>
      <c r="BI59" s="339"/>
      <c r="BJ59" s="339"/>
      <c r="BK59" s="339"/>
      <c r="BL59" s="339"/>
      <c r="BM59" s="339"/>
      <c r="BN59" s="339"/>
      <c r="BO59" s="339"/>
      <c r="BP59" s="339"/>
      <c r="BQ59" s="339"/>
      <c r="BR59" s="339"/>
      <c r="BS59" s="339"/>
      <c r="BT59" s="339"/>
      <c r="BU59" s="339"/>
      <c r="BV59" s="339"/>
      <c r="BW59" s="339"/>
      <c r="BX59" s="339"/>
      <c r="BY59" s="339"/>
      <c r="BZ59" s="339"/>
      <c r="CA59" s="339"/>
      <c r="CB59" s="339"/>
      <c r="CC59" s="339"/>
      <c r="CD59" s="339"/>
      <c r="CE59" s="339"/>
      <c r="CF59" s="339"/>
      <c r="CG59" s="339"/>
      <c r="CH59" s="339"/>
      <c r="CI59" s="339"/>
      <c r="CJ59" s="339"/>
      <c r="CK59" s="339"/>
      <c r="CL59" s="339"/>
      <c r="CM59" s="339"/>
      <c r="CN59" s="339"/>
      <c r="CO59" s="339"/>
      <c r="CP59" s="339"/>
      <c r="CQ59" s="339"/>
      <c r="CR59" s="339"/>
      <c r="CS59" s="339"/>
      <c r="CT59" s="339"/>
      <c r="CU59" s="339"/>
      <c r="CV59" s="339"/>
      <c r="CW59" s="339"/>
      <c r="CX59" s="339"/>
      <c r="CY59" s="339"/>
      <c r="CZ59" s="339"/>
      <c r="DA59" s="339"/>
      <c r="DB59" s="339"/>
      <c r="DC59" s="339"/>
      <c r="DD59" s="339"/>
      <c r="DE59" s="339"/>
      <c r="DF59" s="339"/>
      <c r="DG59" s="339"/>
      <c r="DH59" s="339"/>
      <c r="DI59" s="339"/>
      <c r="DJ59" s="339"/>
      <c r="DK59" s="339"/>
      <c r="DL59" s="339"/>
      <c r="DM59" s="339"/>
      <c r="DN59" s="339"/>
      <c r="DO59" s="339"/>
      <c r="DP59" s="339"/>
      <c r="DQ59" s="339"/>
      <c r="DR59" s="339"/>
      <c r="DS59" s="339"/>
      <c r="DT59" s="339"/>
      <c r="DU59" s="339"/>
      <c r="DV59" s="339"/>
      <c r="DW59" s="339"/>
      <c r="DX59" s="339"/>
      <c r="DY59" s="339"/>
      <c r="DZ59" s="339"/>
      <c r="EA59" s="339"/>
      <c r="EB59" s="339"/>
      <c r="EC59" s="339"/>
      <c r="ED59" s="339"/>
      <c r="EE59" s="339"/>
      <c r="EF59" s="339"/>
      <c r="EG59" s="339"/>
      <c r="EH59" s="339"/>
      <c r="EI59" s="339"/>
      <c r="EJ59" s="339"/>
      <c r="EK59" s="339"/>
      <c r="EL59" s="339"/>
      <c r="EM59" s="339"/>
      <c r="EN59" s="339"/>
      <c r="EO59" s="339"/>
      <c r="EP59" s="339"/>
      <c r="EQ59" s="339"/>
      <c r="ER59" s="339"/>
      <c r="ES59" s="339"/>
      <c r="ET59" s="339"/>
      <c r="EU59" s="339"/>
      <c r="EV59" s="339"/>
      <c r="EW59" s="339"/>
      <c r="EX59" s="339"/>
      <c r="EY59" s="339"/>
      <c r="EZ59" s="339"/>
      <c r="FA59" s="339"/>
      <c r="FB59" s="339"/>
      <c r="FC59" s="339"/>
      <c r="FD59" s="339"/>
      <c r="FE59" s="339"/>
      <c r="FF59" s="339"/>
      <c r="FG59" s="339"/>
      <c r="FH59" s="339"/>
      <c r="FI59" s="339"/>
      <c r="FJ59" s="339"/>
      <c r="FK59" s="339"/>
      <c r="FL59" s="339"/>
      <c r="FM59" s="339"/>
      <c r="FN59" s="339"/>
      <c r="FO59" s="339"/>
      <c r="FP59" s="339"/>
      <c r="FQ59" s="339"/>
      <c r="FR59" s="339"/>
      <c r="FS59" s="339"/>
      <c r="FT59" s="339"/>
      <c r="FU59" s="339"/>
      <c r="FV59" s="339"/>
      <c r="FW59" s="339"/>
      <c r="FX59" s="339"/>
      <c r="FY59" s="339"/>
      <c r="FZ59" s="339"/>
      <c r="GA59" s="339"/>
      <c r="GB59" s="339"/>
      <c r="GC59" s="339"/>
      <c r="GD59" s="339"/>
      <c r="GE59" s="339"/>
      <c r="GF59" s="339"/>
      <c r="GG59" s="339"/>
      <c r="GH59" s="339"/>
      <c r="GI59" s="339"/>
      <c r="GJ59" s="339"/>
      <c r="GK59" s="339"/>
      <c r="GL59" s="339"/>
      <c r="GM59" s="339"/>
      <c r="GN59" s="339"/>
      <c r="GO59" s="339"/>
      <c r="GP59" s="339"/>
      <c r="GQ59" s="339"/>
      <c r="GR59" s="339"/>
      <c r="GS59" s="339"/>
      <c r="GT59" s="339"/>
      <c r="GU59" s="339"/>
      <c r="GV59" s="339"/>
      <c r="GW59" s="339"/>
      <c r="GX59" s="339"/>
      <c r="GY59" s="339"/>
      <c r="GZ59" s="339"/>
      <c r="HA59" s="339"/>
      <c r="HB59" s="339"/>
      <c r="HC59" s="339"/>
      <c r="HD59" s="339"/>
      <c r="HE59" s="339"/>
      <c r="HF59" s="339"/>
      <c r="HG59" s="339"/>
      <c r="HH59" s="339"/>
      <c r="HI59" s="339"/>
      <c r="HJ59" s="339"/>
      <c r="HK59" s="339"/>
      <c r="HL59" s="339"/>
      <c r="HM59" s="339"/>
      <c r="HN59" s="339"/>
      <c r="HO59" s="339"/>
      <c r="HP59" s="339"/>
      <c r="HQ59" s="339"/>
      <c r="HR59" s="339"/>
      <c r="HS59" s="339"/>
      <c r="HT59" s="339"/>
      <c r="HU59" s="339"/>
      <c r="HV59" s="339"/>
      <c r="HW59" s="339"/>
      <c r="HX59" s="339"/>
      <c r="HY59" s="339"/>
      <c r="HZ59" s="339"/>
      <c r="IA59" s="339"/>
      <c r="IB59" s="339"/>
      <c r="IC59" s="339"/>
      <c r="ID59" s="339"/>
      <c r="IE59" s="339"/>
      <c r="IF59" s="339"/>
      <c r="IG59" s="339"/>
      <c r="IH59" s="339"/>
      <c r="II59" s="339"/>
      <c r="IJ59" s="339"/>
      <c r="IK59" s="339"/>
      <c r="IL59" s="339"/>
      <c r="IM59" s="339"/>
      <c r="IN59" s="339"/>
      <c r="IO59" s="339"/>
      <c r="IP59" s="339"/>
      <c r="IQ59" s="339"/>
      <c r="IR59" s="339"/>
      <c r="IS59" s="339"/>
      <c r="IT59" s="339"/>
      <c r="IU59" s="339"/>
      <c r="IV59" s="339"/>
      <c r="IW59" s="339"/>
      <c r="IX59" s="339"/>
      <c r="IY59" s="339"/>
      <c r="IZ59" s="339"/>
      <c r="JA59" s="339"/>
      <c r="JB59" s="339"/>
      <c r="JC59" s="339"/>
      <c r="JD59" s="339"/>
      <c r="JE59" s="339"/>
      <c r="JF59" s="339"/>
      <c r="JG59" s="339"/>
      <c r="JH59" s="339"/>
      <c r="JI59" s="339"/>
      <c r="JJ59" s="339"/>
      <c r="JK59" s="339"/>
      <c r="JL59" s="339"/>
      <c r="JM59" s="339"/>
      <c r="JN59" s="339"/>
      <c r="JO59" s="339"/>
      <c r="JP59" s="339"/>
      <c r="JQ59" s="339"/>
      <c r="JR59" s="339"/>
      <c r="JS59" s="339"/>
      <c r="JT59" s="339"/>
      <c r="JU59" s="339"/>
      <c r="JV59" s="339"/>
      <c r="JW59" s="339"/>
      <c r="JX59" s="339"/>
      <c r="JY59" s="339"/>
      <c r="JZ59" s="339"/>
      <c r="KA59" s="339"/>
      <c r="KB59" s="339"/>
      <c r="KC59" s="339"/>
      <c r="KD59" s="339"/>
      <c r="KE59" s="339"/>
      <c r="KF59" s="339"/>
      <c r="KG59" s="339"/>
      <c r="KH59" s="339"/>
      <c r="KI59" s="339"/>
      <c r="KJ59" s="339"/>
      <c r="KK59" s="339"/>
      <c r="KL59" s="339"/>
      <c r="KM59" s="339"/>
      <c r="KN59" s="339"/>
    </row>
    <row r="60" spans="1:300">
      <c r="A60" s="401" t="s">
        <v>86</v>
      </c>
      <c r="B60" s="401"/>
      <c r="C60" s="401"/>
      <c r="D60" s="401"/>
      <c r="E60" s="401"/>
      <c r="F60" s="401"/>
      <c r="G60" s="401"/>
      <c r="H60" s="401"/>
      <c r="I60" s="401"/>
      <c r="J60" s="401"/>
      <c r="K60" s="401"/>
    </row>
    <row r="61" spans="1:300">
      <c r="A61" s="9" t="s">
        <v>1</v>
      </c>
      <c r="B61" s="9" t="s">
        <v>48</v>
      </c>
      <c r="C61" s="9" t="s">
        <v>49</v>
      </c>
      <c r="D61" s="9" t="s">
        <v>50</v>
      </c>
      <c r="E61" s="9" t="s">
        <v>51</v>
      </c>
      <c r="F61" s="9" t="s">
        <v>52</v>
      </c>
      <c r="G61" s="9" t="s">
        <v>53</v>
      </c>
      <c r="H61" s="9" t="s">
        <v>54</v>
      </c>
      <c r="I61" s="9" t="s">
        <v>55</v>
      </c>
      <c r="J61" s="9" t="s">
        <v>56</v>
      </c>
      <c r="K61" s="9" t="s">
        <v>57</v>
      </c>
    </row>
    <row r="62" spans="1:300">
      <c r="A62" s="4" t="s">
        <v>87</v>
      </c>
      <c r="B62" s="4" t="s">
        <v>88</v>
      </c>
      <c r="C62" s="4" t="s">
        <v>89</v>
      </c>
      <c r="D62" s="4" t="s">
        <v>90</v>
      </c>
      <c r="E62" s="3">
        <v>174795</v>
      </c>
      <c r="F62" s="3">
        <v>2.1571699587892601</v>
      </c>
      <c r="G62" s="3">
        <v>170336</v>
      </c>
      <c r="H62" s="5">
        <v>34</v>
      </c>
      <c r="I62" s="4" t="s">
        <v>91</v>
      </c>
      <c r="J62" s="4" t="s">
        <v>92</v>
      </c>
      <c r="K62" s="3" t="s">
        <v>40</v>
      </c>
    </row>
    <row r="63" spans="1:300" outlineLevel="1">
      <c r="A63" s="7" t="s">
        <v>1</v>
      </c>
      <c r="B63" s="7" t="s">
        <v>67</v>
      </c>
      <c r="C63" s="7" t="s">
        <v>1</v>
      </c>
      <c r="D63" s="7" t="s">
        <v>1</v>
      </c>
      <c r="E63" s="6">
        <v>164893</v>
      </c>
      <c r="F63" s="6" t="s">
        <v>1</v>
      </c>
      <c r="G63" s="6" t="s">
        <v>40</v>
      </c>
      <c r="H63" s="8">
        <v>34</v>
      </c>
      <c r="I63" s="7" t="s">
        <v>91</v>
      </c>
      <c r="J63" s="7" t="s">
        <v>40</v>
      </c>
      <c r="K63" s="6" t="s">
        <v>1</v>
      </c>
    </row>
    <row r="64" spans="1:300" outlineLevel="1">
      <c r="A64" s="7" t="s">
        <v>1</v>
      </c>
      <c r="B64" s="7" t="s">
        <v>78</v>
      </c>
      <c r="C64" s="7" t="s">
        <v>1</v>
      </c>
      <c r="D64" s="7" t="s">
        <v>1</v>
      </c>
      <c r="E64" s="6">
        <v>9890</v>
      </c>
      <c r="F64" s="6" t="s">
        <v>1</v>
      </c>
      <c r="G64" s="6" t="s">
        <v>40</v>
      </c>
      <c r="H64" s="8">
        <v>34</v>
      </c>
      <c r="I64" s="7" t="s">
        <v>91</v>
      </c>
      <c r="J64" s="7" t="s">
        <v>40</v>
      </c>
      <c r="K64" s="6" t="s">
        <v>1</v>
      </c>
    </row>
    <row r="65" spans="1:300" outlineLevel="1">
      <c r="A65" s="7" t="s">
        <v>1</v>
      </c>
      <c r="B65" s="7" t="s">
        <v>79</v>
      </c>
      <c r="C65" s="7" t="s">
        <v>1</v>
      </c>
      <c r="D65" s="7" t="s">
        <v>1</v>
      </c>
      <c r="E65" s="6">
        <v>4</v>
      </c>
      <c r="F65" s="6" t="s">
        <v>1</v>
      </c>
      <c r="G65" s="6" t="s">
        <v>40</v>
      </c>
      <c r="H65" s="8">
        <v>34</v>
      </c>
      <c r="I65" s="7" t="s">
        <v>91</v>
      </c>
      <c r="J65" s="7" t="s">
        <v>40</v>
      </c>
      <c r="K65" s="6" t="s">
        <v>1</v>
      </c>
    </row>
    <row r="66" spans="1:300">
      <c r="A66" s="4" t="s">
        <v>87</v>
      </c>
      <c r="B66" s="4" t="s">
        <v>59</v>
      </c>
      <c r="C66" s="4" t="s">
        <v>59</v>
      </c>
      <c r="D66" s="4" t="s">
        <v>90</v>
      </c>
      <c r="E66" s="3">
        <v>179018.65400000001</v>
      </c>
      <c r="F66" s="3">
        <v>4.62564182311674</v>
      </c>
      <c r="G66" s="3">
        <v>186902.91200000001</v>
      </c>
      <c r="H66" s="5">
        <v>36</v>
      </c>
      <c r="I66" s="4" t="s">
        <v>61</v>
      </c>
      <c r="J66" s="4" t="s">
        <v>40</v>
      </c>
      <c r="K66" s="3" t="s">
        <v>40</v>
      </c>
    </row>
    <row r="67" spans="1:300">
      <c r="A67" s="4" t="s">
        <v>87</v>
      </c>
      <c r="B67" s="4" t="s">
        <v>93</v>
      </c>
      <c r="C67" s="4" t="s">
        <v>94</v>
      </c>
      <c r="D67" s="4" t="s">
        <v>90</v>
      </c>
      <c r="E67" s="3" t="s">
        <v>59</v>
      </c>
      <c r="F67" s="3" t="s">
        <v>1</v>
      </c>
      <c r="G67" s="3" t="s">
        <v>59</v>
      </c>
      <c r="H67" s="5">
        <v>37</v>
      </c>
      <c r="I67" s="4" t="s">
        <v>64</v>
      </c>
      <c r="J67" s="4" t="s">
        <v>40</v>
      </c>
      <c r="K67" s="3" t="s">
        <v>40</v>
      </c>
    </row>
    <row r="68" spans="1:300">
      <c r="A68" s="4" t="s">
        <v>87</v>
      </c>
      <c r="B68" s="4" t="s">
        <v>59</v>
      </c>
      <c r="C68" s="4" t="s">
        <v>59</v>
      </c>
      <c r="D68" s="4" t="s">
        <v>65</v>
      </c>
      <c r="E68" s="3">
        <v>172199</v>
      </c>
      <c r="F68" s="3">
        <v>0.63996401346464504</v>
      </c>
      <c r="G68" s="3">
        <v>168542</v>
      </c>
      <c r="H68" s="5">
        <v>124</v>
      </c>
      <c r="I68" s="4" t="s">
        <v>112</v>
      </c>
      <c r="J68" s="4" t="s">
        <v>40</v>
      </c>
      <c r="K68" s="3" t="s">
        <v>40</v>
      </c>
    </row>
    <row r="69" spans="1:300" outlineLevel="1">
      <c r="A69" s="7" t="s">
        <v>1</v>
      </c>
      <c r="B69" s="7" t="s">
        <v>67</v>
      </c>
      <c r="C69" s="7" t="s">
        <v>1</v>
      </c>
      <c r="D69" s="7" t="s">
        <v>1</v>
      </c>
      <c r="E69" s="6">
        <v>169536</v>
      </c>
      <c r="F69" s="6" t="s">
        <v>1</v>
      </c>
      <c r="G69" s="6" t="s">
        <v>40</v>
      </c>
      <c r="H69" s="8">
        <v>186</v>
      </c>
      <c r="I69" s="7" t="s">
        <v>96</v>
      </c>
      <c r="J69" s="7" t="s">
        <v>40</v>
      </c>
      <c r="K69" s="6" t="s">
        <v>1</v>
      </c>
    </row>
    <row r="70" spans="1:300" outlineLevel="1">
      <c r="A70" s="7" t="s">
        <v>1</v>
      </c>
      <c r="B70" s="7" t="s">
        <v>78</v>
      </c>
      <c r="C70" s="7" t="s">
        <v>1</v>
      </c>
      <c r="D70" s="7" t="s">
        <v>1</v>
      </c>
      <c r="E70" s="6">
        <v>10539</v>
      </c>
      <c r="F70" s="6" t="s">
        <v>1</v>
      </c>
      <c r="G70" s="6" t="s">
        <v>40</v>
      </c>
      <c r="H70" s="8">
        <v>187</v>
      </c>
      <c r="I70" s="7" t="s">
        <v>97</v>
      </c>
      <c r="J70" s="7" t="s">
        <v>40</v>
      </c>
      <c r="K70" s="6" t="s">
        <v>1</v>
      </c>
    </row>
    <row r="71" spans="1:300">
      <c r="A71" s="4" t="s">
        <v>87</v>
      </c>
      <c r="B71" s="4" t="s">
        <v>59</v>
      </c>
      <c r="C71" s="4" t="s">
        <v>59</v>
      </c>
      <c r="D71" s="4" t="s">
        <v>71</v>
      </c>
      <c r="E71" s="3">
        <v>175277.3</v>
      </c>
      <c r="F71" s="3">
        <v>2.4390453160427499</v>
      </c>
      <c r="G71" s="3">
        <v>175482.6</v>
      </c>
      <c r="H71" s="5">
        <v>53</v>
      </c>
      <c r="I71" s="4" t="s">
        <v>98</v>
      </c>
      <c r="J71" s="4" t="s">
        <v>40</v>
      </c>
      <c r="K71" s="3" t="s">
        <v>40</v>
      </c>
    </row>
    <row r="72" spans="1:300">
      <c r="A72" s="4" t="s">
        <v>87</v>
      </c>
      <c r="B72" s="4" t="s">
        <v>59</v>
      </c>
      <c r="C72" s="4" t="s">
        <v>59</v>
      </c>
      <c r="D72" s="4" t="s">
        <v>71</v>
      </c>
      <c r="E72" s="3">
        <v>175015.89799999999</v>
      </c>
      <c r="F72" s="3">
        <v>2.2862715608348299</v>
      </c>
      <c r="G72" s="3">
        <v>162787.67800000001</v>
      </c>
      <c r="H72" s="5">
        <v>33</v>
      </c>
      <c r="I72" s="4" t="s">
        <v>73</v>
      </c>
      <c r="J72" s="4" t="s">
        <v>81</v>
      </c>
      <c r="K72" s="3" t="s">
        <v>40</v>
      </c>
    </row>
    <row r="73" spans="1:300">
      <c r="A73" s="4" t="s">
        <v>87</v>
      </c>
      <c r="B73" s="4" t="s">
        <v>99</v>
      </c>
      <c r="C73" s="4" t="s">
        <v>100</v>
      </c>
      <c r="D73" s="4" t="s">
        <v>84</v>
      </c>
      <c r="E73" s="3">
        <v>179732</v>
      </c>
      <c r="F73" s="3">
        <v>5.0425496783838897</v>
      </c>
      <c r="G73" s="3">
        <v>174968</v>
      </c>
      <c r="H73" s="5">
        <v>32</v>
      </c>
      <c r="I73" s="4" t="s">
        <v>77</v>
      </c>
      <c r="J73" s="4" t="s">
        <v>101</v>
      </c>
      <c r="K73" s="3" t="s">
        <v>40</v>
      </c>
    </row>
    <row r="74" spans="1:300">
      <c r="A74" s="4" t="s">
        <v>87</v>
      </c>
      <c r="B74" s="4" t="s">
        <v>102</v>
      </c>
      <c r="C74" s="4" t="s">
        <v>103</v>
      </c>
      <c r="D74" s="4" t="s">
        <v>104</v>
      </c>
      <c r="E74" s="3">
        <v>168549.52</v>
      </c>
      <c r="F74" s="3">
        <v>-1.49293766347808</v>
      </c>
      <c r="G74" s="3">
        <v>166058.64000000001</v>
      </c>
      <c r="H74" s="5">
        <v>106</v>
      </c>
      <c r="I74" s="4" t="s">
        <v>106</v>
      </c>
      <c r="J74" s="4" t="s">
        <v>40</v>
      </c>
      <c r="K74" s="3" t="s">
        <v>40</v>
      </c>
    </row>
    <row r="75" spans="1:300">
      <c r="A75" s="339" t="s">
        <v>1</v>
      </c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  <c r="AD75" s="339"/>
      <c r="AE75" s="339"/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39"/>
      <c r="AR75" s="339"/>
      <c r="AS75" s="339"/>
      <c r="AT75" s="339"/>
      <c r="AU75" s="339"/>
      <c r="AV75" s="339"/>
      <c r="AW75" s="339"/>
      <c r="AX75" s="339"/>
      <c r="AY75" s="339"/>
      <c r="AZ75" s="339"/>
      <c r="BA75" s="339"/>
      <c r="BB75" s="339"/>
      <c r="BC75" s="339"/>
      <c r="BD75" s="339"/>
      <c r="BE75" s="339"/>
      <c r="BF75" s="339"/>
      <c r="BG75" s="339"/>
      <c r="BH75" s="339"/>
      <c r="BI75" s="339"/>
      <c r="BJ75" s="339"/>
      <c r="BK75" s="339"/>
      <c r="BL75" s="339"/>
      <c r="BM75" s="339"/>
      <c r="BN75" s="339"/>
      <c r="BO75" s="339"/>
      <c r="BP75" s="339"/>
      <c r="BQ75" s="339"/>
      <c r="BR75" s="339"/>
      <c r="BS75" s="339"/>
      <c r="BT75" s="339"/>
      <c r="BU75" s="339"/>
      <c r="BV75" s="339"/>
      <c r="BW75" s="339"/>
      <c r="BX75" s="339"/>
      <c r="BY75" s="339"/>
      <c r="BZ75" s="339"/>
      <c r="CA75" s="339"/>
      <c r="CB75" s="339"/>
      <c r="CC75" s="339"/>
      <c r="CD75" s="339"/>
      <c r="CE75" s="339"/>
      <c r="CF75" s="339"/>
      <c r="CG75" s="339"/>
      <c r="CH75" s="339"/>
      <c r="CI75" s="339"/>
      <c r="CJ75" s="339"/>
      <c r="CK75" s="339"/>
      <c r="CL75" s="339"/>
      <c r="CM75" s="339"/>
      <c r="CN75" s="339"/>
      <c r="CO75" s="339"/>
      <c r="CP75" s="339"/>
      <c r="CQ75" s="339"/>
      <c r="CR75" s="339"/>
      <c r="CS75" s="339"/>
      <c r="CT75" s="339"/>
      <c r="CU75" s="339"/>
      <c r="CV75" s="339"/>
      <c r="CW75" s="339"/>
      <c r="CX75" s="339"/>
      <c r="CY75" s="339"/>
      <c r="CZ75" s="339"/>
      <c r="DA75" s="339"/>
      <c r="DB75" s="339"/>
      <c r="DC75" s="339"/>
      <c r="DD75" s="339"/>
      <c r="DE75" s="339"/>
      <c r="DF75" s="339"/>
      <c r="DG75" s="339"/>
      <c r="DH75" s="339"/>
      <c r="DI75" s="339"/>
      <c r="DJ75" s="339"/>
      <c r="DK75" s="339"/>
      <c r="DL75" s="339"/>
      <c r="DM75" s="339"/>
      <c r="DN75" s="339"/>
      <c r="DO75" s="339"/>
      <c r="DP75" s="339"/>
      <c r="DQ75" s="339"/>
      <c r="DR75" s="339"/>
      <c r="DS75" s="339"/>
      <c r="DT75" s="339"/>
      <c r="DU75" s="339"/>
      <c r="DV75" s="339"/>
      <c r="DW75" s="339"/>
      <c r="DX75" s="339"/>
      <c r="DY75" s="339"/>
      <c r="DZ75" s="339"/>
      <c r="EA75" s="339"/>
      <c r="EB75" s="339"/>
      <c r="EC75" s="339"/>
      <c r="ED75" s="339"/>
      <c r="EE75" s="339"/>
      <c r="EF75" s="339"/>
      <c r="EG75" s="339"/>
      <c r="EH75" s="339"/>
      <c r="EI75" s="339"/>
      <c r="EJ75" s="339"/>
      <c r="EK75" s="339"/>
      <c r="EL75" s="339"/>
      <c r="EM75" s="339"/>
      <c r="EN75" s="339"/>
      <c r="EO75" s="339"/>
      <c r="EP75" s="339"/>
      <c r="EQ75" s="339"/>
      <c r="ER75" s="339"/>
      <c r="ES75" s="339"/>
      <c r="ET75" s="339"/>
      <c r="EU75" s="339"/>
      <c r="EV75" s="339"/>
      <c r="EW75" s="339"/>
      <c r="EX75" s="339"/>
      <c r="EY75" s="339"/>
      <c r="EZ75" s="339"/>
      <c r="FA75" s="339"/>
      <c r="FB75" s="339"/>
      <c r="FC75" s="339"/>
      <c r="FD75" s="339"/>
      <c r="FE75" s="339"/>
      <c r="FF75" s="339"/>
      <c r="FG75" s="339"/>
      <c r="FH75" s="339"/>
      <c r="FI75" s="339"/>
      <c r="FJ75" s="339"/>
      <c r="FK75" s="339"/>
      <c r="FL75" s="339"/>
      <c r="FM75" s="339"/>
      <c r="FN75" s="339"/>
      <c r="FO75" s="339"/>
      <c r="FP75" s="339"/>
      <c r="FQ75" s="339"/>
      <c r="FR75" s="339"/>
      <c r="FS75" s="339"/>
      <c r="FT75" s="339"/>
      <c r="FU75" s="339"/>
      <c r="FV75" s="339"/>
      <c r="FW75" s="339"/>
      <c r="FX75" s="339"/>
      <c r="FY75" s="339"/>
      <c r="FZ75" s="339"/>
      <c r="GA75" s="339"/>
      <c r="GB75" s="339"/>
      <c r="GC75" s="339"/>
      <c r="GD75" s="339"/>
      <c r="GE75" s="339"/>
      <c r="GF75" s="339"/>
      <c r="GG75" s="339"/>
      <c r="GH75" s="339"/>
      <c r="GI75" s="339"/>
      <c r="GJ75" s="339"/>
      <c r="GK75" s="339"/>
      <c r="GL75" s="339"/>
      <c r="GM75" s="339"/>
      <c r="GN75" s="339"/>
      <c r="GO75" s="339"/>
      <c r="GP75" s="339"/>
      <c r="GQ75" s="339"/>
      <c r="GR75" s="339"/>
      <c r="GS75" s="339"/>
      <c r="GT75" s="339"/>
      <c r="GU75" s="339"/>
      <c r="GV75" s="339"/>
      <c r="GW75" s="339"/>
      <c r="GX75" s="339"/>
      <c r="GY75" s="339"/>
      <c r="GZ75" s="339"/>
      <c r="HA75" s="339"/>
      <c r="HB75" s="339"/>
      <c r="HC75" s="339"/>
      <c r="HD75" s="339"/>
      <c r="HE75" s="339"/>
      <c r="HF75" s="339"/>
      <c r="HG75" s="339"/>
      <c r="HH75" s="339"/>
      <c r="HI75" s="339"/>
      <c r="HJ75" s="339"/>
      <c r="HK75" s="339"/>
      <c r="HL75" s="339"/>
      <c r="HM75" s="339"/>
      <c r="HN75" s="339"/>
      <c r="HO75" s="339"/>
      <c r="HP75" s="339"/>
      <c r="HQ75" s="339"/>
      <c r="HR75" s="339"/>
      <c r="HS75" s="339"/>
      <c r="HT75" s="339"/>
      <c r="HU75" s="339"/>
      <c r="HV75" s="339"/>
      <c r="HW75" s="339"/>
      <c r="HX75" s="339"/>
      <c r="HY75" s="339"/>
      <c r="HZ75" s="339"/>
      <c r="IA75" s="339"/>
      <c r="IB75" s="339"/>
      <c r="IC75" s="339"/>
      <c r="ID75" s="339"/>
      <c r="IE75" s="339"/>
      <c r="IF75" s="339"/>
      <c r="IG75" s="339"/>
      <c r="IH75" s="339"/>
      <c r="II75" s="339"/>
      <c r="IJ75" s="339"/>
      <c r="IK75" s="339"/>
      <c r="IL75" s="339"/>
      <c r="IM75" s="339"/>
      <c r="IN75" s="339"/>
      <c r="IO75" s="339"/>
      <c r="IP75" s="339"/>
      <c r="IQ75" s="339"/>
      <c r="IR75" s="339"/>
      <c r="IS75" s="339"/>
      <c r="IT75" s="339"/>
      <c r="IU75" s="339"/>
      <c r="IV75" s="339"/>
      <c r="IW75" s="339"/>
      <c r="IX75" s="339"/>
      <c r="IY75" s="339"/>
      <c r="IZ75" s="339"/>
      <c r="JA75" s="339"/>
      <c r="JB75" s="339"/>
      <c r="JC75" s="339"/>
      <c r="JD75" s="339"/>
      <c r="JE75" s="339"/>
      <c r="JF75" s="339"/>
      <c r="JG75" s="339"/>
      <c r="JH75" s="339"/>
      <c r="JI75" s="339"/>
      <c r="JJ75" s="339"/>
      <c r="JK75" s="339"/>
      <c r="JL75" s="339"/>
      <c r="JM75" s="339"/>
      <c r="JN75" s="339"/>
      <c r="JO75" s="339"/>
      <c r="JP75" s="339"/>
      <c r="JQ75" s="339"/>
      <c r="JR75" s="339"/>
      <c r="JS75" s="339"/>
      <c r="JT75" s="339"/>
      <c r="JU75" s="339"/>
      <c r="JV75" s="339"/>
      <c r="JW75" s="339"/>
      <c r="JX75" s="339"/>
      <c r="JY75" s="339"/>
      <c r="JZ75" s="339"/>
      <c r="KA75" s="339"/>
      <c r="KB75" s="339"/>
      <c r="KC75" s="339"/>
      <c r="KD75" s="339"/>
      <c r="KE75" s="339"/>
      <c r="KF75" s="339"/>
      <c r="KG75" s="339"/>
      <c r="KH75" s="339"/>
      <c r="KI75" s="339"/>
      <c r="KJ75" s="339"/>
      <c r="KK75" s="339"/>
      <c r="KL75" s="339"/>
      <c r="KM75" s="339"/>
      <c r="KN75" s="339"/>
    </row>
  </sheetData>
  <mergeCells count="19">
    <mergeCell ref="A35:K35"/>
    <mergeCell ref="A59:KN59"/>
    <mergeCell ref="A60:K60"/>
    <mergeCell ref="A75:KN75"/>
    <mergeCell ref="E30:G30"/>
    <mergeCell ref="E31:G31"/>
    <mergeCell ref="E32:G32"/>
    <mergeCell ref="A33:KN33"/>
    <mergeCell ref="A34:K34"/>
    <mergeCell ref="C2"/>
    <mergeCell ref="A4:KN4"/>
    <mergeCell ref="A8:KN8"/>
    <mergeCell ref="B9:C9"/>
    <mergeCell ref="A17:KN17"/>
    <mergeCell ref="B18:C18"/>
    <mergeCell ref="A22:KN22"/>
    <mergeCell ref="B23:E23"/>
    <mergeCell ref="A28:KN28"/>
    <mergeCell ref="B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931A-D840-4E0A-B81A-D80E261D424E}">
  <sheetPr>
    <outlinePr summaryBelow="0"/>
  </sheetPr>
  <dimension ref="A1:KN62"/>
  <sheetViews>
    <sheetView workbookViewId="0">
      <selection activeCell="D7" sqref="D7"/>
    </sheetView>
  </sheetViews>
  <sheetFormatPr defaultRowHeight="15" outlineLevelRow="1"/>
  <cols>
    <col min="1" max="1" width="2.5703125" bestFit="1" customWidth="1"/>
    <col min="2" max="2" width="50" bestFit="1" customWidth="1"/>
    <col min="3" max="3" width="31.42578125" bestFit="1" customWidth="1"/>
    <col min="4" max="301" width="20.7109375" bestFit="1" customWidth="1"/>
  </cols>
  <sheetData>
    <row r="1" spans="1:300">
      <c r="B1" t="s">
        <v>115</v>
      </c>
    </row>
    <row r="2" spans="1:300">
      <c r="A2" s="1" t="s">
        <v>1</v>
      </c>
      <c r="B2" s="2" t="s">
        <v>2</v>
      </c>
      <c r="C2" s="340" t="s">
        <v>3</v>
      </c>
    </row>
    <row r="3" spans="1:300">
      <c r="A3" s="1" t="s">
        <v>1</v>
      </c>
      <c r="B3" s="2" t="s">
        <v>4</v>
      </c>
      <c r="C3" s="1" t="s">
        <v>5</v>
      </c>
    </row>
    <row r="4" spans="1:300">
      <c r="A4" s="339" t="s">
        <v>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39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339"/>
      <c r="AY4" s="339"/>
      <c r="AZ4" s="339"/>
      <c r="BA4" s="339"/>
      <c r="BB4" s="339"/>
      <c r="BC4" s="339"/>
      <c r="BD4" s="339"/>
      <c r="BE4" s="339"/>
      <c r="BF4" s="339"/>
      <c r="BG4" s="339"/>
      <c r="BH4" s="339"/>
      <c r="BI4" s="339"/>
      <c r="BJ4" s="339"/>
      <c r="BK4" s="339"/>
      <c r="BL4" s="339"/>
      <c r="BM4" s="339"/>
      <c r="BN4" s="339"/>
      <c r="BO4" s="339"/>
      <c r="BP4" s="339"/>
      <c r="BQ4" s="339"/>
      <c r="BR4" s="339"/>
      <c r="BS4" s="339"/>
      <c r="BT4" s="339"/>
      <c r="BU4" s="339"/>
      <c r="BV4" s="339"/>
      <c r="BW4" s="339"/>
      <c r="BX4" s="339"/>
      <c r="BY4" s="339"/>
      <c r="BZ4" s="339"/>
      <c r="CA4" s="339"/>
      <c r="CB4" s="339"/>
      <c r="CC4" s="339"/>
      <c r="CD4" s="339"/>
      <c r="CE4" s="339"/>
      <c r="CF4" s="339"/>
      <c r="CG4" s="339"/>
      <c r="CH4" s="339"/>
      <c r="CI4" s="339"/>
      <c r="CJ4" s="339"/>
      <c r="CK4" s="339"/>
      <c r="CL4" s="339"/>
      <c r="CM4" s="339"/>
      <c r="CN4" s="339"/>
      <c r="CO4" s="339"/>
      <c r="CP4" s="339"/>
      <c r="CQ4" s="339"/>
      <c r="CR4" s="339"/>
      <c r="CS4" s="339"/>
      <c r="CT4" s="339"/>
      <c r="CU4" s="339"/>
      <c r="CV4" s="339"/>
      <c r="CW4" s="339"/>
      <c r="CX4" s="339"/>
      <c r="CY4" s="339"/>
      <c r="CZ4" s="339"/>
      <c r="DA4" s="339"/>
      <c r="DB4" s="339"/>
      <c r="DC4" s="339"/>
      <c r="DD4" s="339"/>
      <c r="DE4" s="339"/>
      <c r="DF4" s="339"/>
      <c r="DG4" s="339"/>
      <c r="DH4" s="339"/>
      <c r="DI4" s="339"/>
      <c r="DJ4" s="339"/>
      <c r="DK4" s="339"/>
      <c r="DL4" s="339"/>
      <c r="DM4" s="339"/>
      <c r="DN4" s="339"/>
      <c r="DO4" s="339"/>
      <c r="DP4" s="339"/>
      <c r="DQ4" s="339"/>
      <c r="DR4" s="339"/>
      <c r="DS4" s="339"/>
      <c r="DT4" s="339"/>
      <c r="DU4" s="339"/>
      <c r="DV4" s="339"/>
      <c r="DW4" s="339"/>
      <c r="DX4" s="339"/>
      <c r="DY4" s="339"/>
      <c r="DZ4" s="339"/>
      <c r="EA4" s="339"/>
      <c r="EB4" s="339"/>
      <c r="EC4" s="339"/>
      <c r="ED4" s="339"/>
      <c r="EE4" s="339"/>
      <c r="EF4" s="339"/>
      <c r="EG4" s="339"/>
      <c r="EH4" s="339"/>
      <c r="EI4" s="339"/>
      <c r="EJ4" s="339"/>
      <c r="EK4" s="339"/>
      <c r="EL4" s="339"/>
      <c r="EM4" s="339"/>
      <c r="EN4" s="339"/>
      <c r="EO4" s="339"/>
      <c r="EP4" s="339"/>
      <c r="EQ4" s="339"/>
      <c r="ER4" s="339"/>
      <c r="ES4" s="339"/>
      <c r="ET4" s="339"/>
      <c r="EU4" s="339"/>
      <c r="EV4" s="339"/>
      <c r="EW4" s="339"/>
      <c r="EX4" s="339"/>
      <c r="EY4" s="339"/>
      <c r="EZ4" s="339"/>
      <c r="FA4" s="339"/>
      <c r="FB4" s="339"/>
      <c r="FC4" s="339"/>
      <c r="FD4" s="339"/>
      <c r="FE4" s="339"/>
      <c r="FF4" s="339"/>
      <c r="FG4" s="339"/>
      <c r="FH4" s="339"/>
      <c r="FI4" s="339"/>
      <c r="FJ4" s="339"/>
      <c r="FK4" s="339"/>
      <c r="FL4" s="339"/>
      <c r="FM4" s="339"/>
      <c r="FN4" s="339"/>
      <c r="FO4" s="339"/>
      <c r="FP4" s="339"/>
      <c r="FQ4" s="339"/>
      <c r="FR4" s="339"/>
      <c r="FS4" s="339"/>
      <c r="FT4" s="339"/>
      <c r="FU4" s="339"/>
      <c r="FV4" s="339"/>
      <c r="FW4" s="339"/>
      <c r="FX4" s="339"/>
      <c r="FY4" s="339"/>
      <c r="FZ4" s="339"/>
      <c r="GA4" s="339"/>
      <c r="GB4" s="339"/>
      <c r="GC4" s="339"/>
      <c r="GD4" s="339"/>
      <c r="GE4" s="339"/>
      <c r="GF4" s="339"/>
      <c r="GG4" s="339"/>
      <c r="GH4" s="339"/>
      <c r="GI4" s="339"/>
      <c r="GJ4" s="339"/>
      <c r="GK4" s="339"/>
      <c r="GL4" s="339"/>
      <c r="GM4" s="339"/>
      <c r="GN4" s="339"/>
      <c r="GO4" s="339"/>
      <c r="GP4" s="339"/>
      <c r="GQ4" s="339"/>
      <c r="GR4" s="339"/>
      <c r="GS4" s="339"/>
      <c r="GT4" s="339"/>
      <c r="GU4" s="339"/>
      <c r="GV4" s="339"/>
      <c r="GW4" s="339"/>
      <c r="GX4" s="339"/>
      <c r="GY4" s="339"/>
      <c r="GZ4" s="339"/>
      <c r="HA4" s="339"/>
      <c r="HB4" s="339"/>
      <c r="HC4" s="339"/>
      <c r="HD4" s="339"/>
      <c r="HE4" s="339"/>
      <c r="HF4" s="339"/>
      <c r="HG4" s="339"/>
      <c r="HH4" s="339"/>
      <c r="HI4" s="339"/>
      <c r="HJ4" s="339"/>
      <c r="HK4" s="339"/>
      <c r="HL4" s="339"/>
      <c r="HM4" s="339"/>
      <c r="HN4" s="339"/>
      <c r="HO4" s="339"/>
      <c r="HP4" s="339"/>
      <c r="HQ4" s="339"/>
      <c r="HR4" s="339"/>
      <c r="HS4" s="339"/>
      <c r="HT4" s="339"/>
      <c r="HU4" s="339"/>
      <c r="HV4" s="339"/>
      <c r="HW4" s="339"/>
      <c r="HX4" s="339"/>
      <c r="HY4" s="339"/>
      <c r="HZ4" s="339"/>
      <c r="IA4" s="339"/>
      <c r="IB4" s="339"/>
      <c r="IC4" s="339"/>
      <c r="ID4" s="339"/>
      <c r="IE4" s="339"/>
      <c r="IF4" s="339"/>
      <c r="IG4" s="339"/>
      <c r="IH4" s="339"/>
      <c r="II4" s="339"/>
      <c r="IJ4" s="339"/>
      <c r="IK4" s="339"/>
      <c r="IL4" s="339"/>
      <c r="IM4" s="339"/>
      <c r="IN4" s="339"/>
      <c r="IO4" s="339"/>
      <c r="IP4" s="339"/>
      <c r="IQ4" s="339"/>
      <c r="IR4" s="339"/>
      <c r="IS4" s="339"/>
      <c r="IT4" s="339"/>
      <c r="IU4" s="339"/>
      <c r="IV4" s="339"/>
      <c r="IW4" s="339"/>
      <c r="IX4" s="339"/>
      <c r="IY4" s="339"/>
      <c r="IZ4" s="339"/>
      <c r="JA4" s="339"/>
      <c r="JB4" s="339"/>
      <c r="JC4" s="339"/>
      <c r="JD4" s="339"/>
      <c r="JE4" s="339"/>
      <c r="JF4" s="339"/>
      <c r="JG4" s="339"/>
      <c r="JH4" s="339"/>
      <c r="JI4" s="339"/>
      <c r="JJ4" s="339"/>
      <c r="JK4" s="339"/>
      <c r="JL4" s="339"/>
      <c r="JM4" s="339"/>
      <c r="JN4" s="339"/>
      <c r="JO4" s="339"/>
      <c r="JP4" s="339"/>
      <c r="JQ4" s="339"/>
      <c r="JR4" s="339"/>
      <c r="JS4" s="339"/>
      <c r="JT4" s="339"/>
      <c r="JU4" s="339"/>
      <c r="JV4" s="339"/>
      <c r="JW4" s="339"/>
      <c r="JX4" s="339"/>
      <c r="JY4" s="339"/>
      <c r="JZ4" s="339"/>
      <c r="KA4" s="339"/>
      <c r="KB4" s="339"/>
      <c r="KC4" s="339"/>
      <c r="KD4" s="339"/>
      <c r="KE4" s="339"/>
      <c r="KF4" s="339"/>
      <c r="KG4" s="339"/>
      <c r="KH4" s="339"/>
      <c r="KI4" s="339"/>
      <c r="KJ4" s="339"/>
      <c r="KK4" s="339"/>
      <c r="KL4" s="339"/>
      <c r="KM4" s="339"/>
      <c r="KN4" s="339"/>
    </row>
    <row r="5" spans="1:300">
      <c r="A5" s="1" t="s">
        <v>1</v>
      </c>
      <c r="B5" s="2" t="s">
        <v>6</v>
      </c>
      <c r="C5" s="1" t="s">
        <v>7</v>
      </c>
    </row>
    <row r="6" spans="1:300">
      <c r="A6" s="1" t="s">
        <v>1</v>
      </c>
      <c r="B6" s="2" t="s">
        <v>8</v>
      </c>
      <c r="C6" s="1" t="s">
        <v>116</v>
      </c>
    </row>
    <row r="7" spans="1:300">
      <c r="A7" s="1" t="s">
        <v>1</v>
      </c>
      <c r="B7" s="2" t="s">
        <v>10</v>
      </c>
      <c r="C7" s="1" t="s">
        <v>11</v>
      </c>
    </row>
    <row r="8" spans="1:300">
      <c r="A8" s="339" t="s">
        <v>1</v>
      </c>
      <c r="B8" s="339"/>
      <c r="C8" s="339"/>
      <c r="D8" s="339"/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9"/>
      <c r="Q8" s="339"/>
      <c r="R8" s="339"/>
      <c r="S8" s="339"/>
      <c r="T8" s="339"/>
      <c r="U8" s="339"/>
      <c r="V8" s="339"/>
      <c r="W8" s="339"/>
      <c r="X8" s="339"/>
      <c r="Y8" s="339"/>
      <c r="Z8" s="339"/>
      <c r="AA8" s="339"/>
      <c r="AB8" s="339"/>
      <c r="AC8" s="339"/>
      <c r="AD8" s="339"/>
      <c r="AE8" s="339"/>
      <c r="AF8" s="339"/>
      <c r="AG8" s="339"/>
      <c r="AH8" s="339"/>
      <c r="AI8" s="339"/>
      <c r="AJ8" s="339"/>
      <c r="AK8" s="339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39"/>
      <c r="BR8" s="339"/>
      <c r="BS8" s="339"/>
      <c r="BT8" s="339"/>
      <c r="BU8" s="339"/>
      <c r="BV8" s="339"/>
      <c r="BW8" s="339"/>
      <c r="BX8" s="339"/>
      <c r="BY8" s="339"/>
      <c r="BZ8" s="339"/>
      <c r="CA8" s="339"/>
      <c r="CB8" s="339"/>
      <c r="CC8" s="339"/>
      <c r="CD8" s="339"/>
      <c r="CE8" s="339"/>
      <c r="CF8" s="339"/>
      <c r="CG8" s="339"/>
      <c r="CH8" s="339"/>
      <c r="CI8" s="339"/>
      <c r="CJ8" s="339"/>
      <c r="CK8" s="339"/>
      <c r="CL8" s="339"/>
      <c r="CM8" s="339"/>
      <c r="CN8" s="339"/>
      <c r="CO8" s="339"/>
      <c r="CP8" s="339"/>
      <c r="CQ8" s="339"/>
      <c r="CR8" s="339"/>
      <c r="CS8" s="339"/>
      <c r="CT8" s="339"/>
      <c r="CU8" s="339"/>
      <c r="CV8" s="339"/>
      <c r="CW8" s="339"/>
      <c r="CX8" s="339"/>
      <c r="CY8" s="339"/>
      <c r="CZ8" s="339"/>
      <c r="DA8" s="339"/>
      <c r="DB8" s="339"/>
      <c r="DC8" s="339"/>
      <c r="DD8" s="339"/>
      <c r="DE8" s="339"/>
      <c r="DF8" s="339"/>
      <c r="DG8" s="339"/>
      <c r="DH8" s="339"/>
      <c r="DI8" s="339"/>
      <c r="DJ8" s="339"/>
      <c r="DK8" s="339"/>
      <c r="DL8" s="339"/>
      <c r="DM8" s="339"/>
      <c r="DN8" s="339"/>
      <c r="DO8" s="339"/>
      <c r="DP8" s="339"/>
      <c r="DQ8" s="339"/>
      <c r="DR8" s="339"/>
      <c r="DS8" s="339"/>
      <c r="DT8" s="339"/>
      <c r="DU8" s="339"/>
      <c r="DV8" s="339"/>
      <c r="DW8" s="339"/>
      <c r="DX8" s="339"/>
      <c r="DY8" s="339"/>
      <c r="DZ8" s="339"/>
      <c r="EA8" s="339"/>
      <c r="EB8" s="339"/>
      <c r="EC8" s="339"/>
      <c r="ED8" s="339"/>
      <c r="EE8" s="339"/>
      <c r="EF8" s="339"/>
      <c r="EG8" s="339"/>
      <c r="EH8" s="339"/>
      <c r="EI8" s="339"/>
      <c r="EJ8" s="339"/>
      <c r="EK8" s="339"/>
      <c r="EL8" s="339"/>
      <c r="EM8" s="339"/>
      <c r="EN8" s="339"/>
      <c r="EO8" s="339"/>
      <c r="EP8" s="339"/>
      <c r="EQ8" s="339"/>
      <c r="ER8" s="339"/>
      <c r="ES8" s="339"/>
      <c r="ET8" s="339"/>
      <c r="EU8" s="339"/>
      <c r="EV8" s="339"/>
      <c r="EW8" s="339"/>
      <c r="EX8" s="339"/>
      <c r="EY8" s="339"/>
      <c r="EZ8" s="339"/>
      <c r="FA8" s="339"/>
      <c r="FB8" s="339"/>
      <c r="FC8" s="339"/>
      <c r="FD8" s="339"/>
      <c r="FE8" s="339"/>
      <c r="FF8" s="339"/>
      <c r="FG8" s="339"/>
      <c r="FH8" s="339"/>
      <c r="FI8" s="339"/>
      <c r="FJ8" s="339"/>
      <c r="FK8" s="339"/>
      <c r="FL8" s="339"/>
      <c r="FM8" s="339"/>
      <c r="FN8" s="339"/>
      <c r="FO8" s="339"/>
      <c r="FP8" s="339"/>
      <c r="FQ8" s="339"/>
      <c r="FR8" s="339"/>
      <c r="FS8" s="339"/>
      <c r="FT8" s="339"/>
      <c r="FU8" s="339"/>
      <c r="FV8" s="339"/>
      <c r="FW8" s="339"/>
      <c r="FX8" s="339"/>
      <c r="FY8" s="339"/>
      <c r="FZ8" s="339"/>
      <c r="GA8" s="339"/>
      <c r="GB8" s="339"/>
      <c r="GC8" s="339"/>
      <c r="GD8" s="339"/>
      <c r="GE8" s="339"/>
      <c r="GF8" s="339"/>
      <c r="GG8" s="339"/>
      <c r="GH8" s="339"/>
      <c r="GI8" s="339"/>
      <c r="GJ8" s="339"/>
      <c r="GK8" s="339"/>
      <c r="GL8" s="339"/>
      <c r="GM8" s="339"/>
      <c r="GN8" s="339"/>
      <c r="GO8" s="339"/>
      <c r="GP8" s="339"/>
      <c r="GQ8" s="339"/>
      <c r="GR8" s="339"/>
      <c r="GS8" s="339"/>
      <c r="GT8" s="339"/>
      <c r="GU8" s="339"/>
      <c r="GV8" s="339"/>
      <c r="GW8" s="339"/>
      <c r="GX8" s="339"/>
      <c r="GY8" s="339"/>
      <c r="GZ8" s="339"/>
      <c r="HA8" s="339"/>
      <c r="HB8" s="339"/>
      <c r="HC8" s="339"/>
      <c r="HD8" s="339"/>
      <c r="HE8" s="339"/>
      <c r="HF8" s="339"/>
      <c r="HG8" s="339"/>
      <c r="HH8" s="339"/>
      <c r="HI8" s="339"/>
      <c r="HJ8" s="339"/>
      <c r="HK8" s="339"/>
      <c r="HL8" s="339"/>
      <c r="HM8" s="339"/>
      <c r="HN8" s="339"/>
      <c r="HO8" s="339"/>
      <c r="HP8" s="339"/>
      <c r="HQ8" s="339"/>
      <c r="HR8" s="339"/>
      <c r="HS8" s="339"/>
      <c r="HT8" s="339"/>
      <c r="HU8" s="339"/>
      <c r="HV8" s="339"/>
      <c r="HW8" s="339"/>
      <c r="HX8" s="339"/>
      <c r="HY8" s="339"/>
      <c r="HZ8" s="339"/>
      <c r="IA8" s="339"/>
      <c r="IB8" s="339"/>
      <c r="IC8" s="339"/>
      <c r="ID8" s="339"/>
      <c r="IE8" s="339"/>
      <c r="IF8" s="339"/>
      <c r="IG8" s="339"/>
      <c r="IH8" s="339"/>
      <c r="II8" s="339"/>
      <c r="IJ8" s="339"/>
      <c r="IK8" s="339"/>
      <c r="IL8" s="339"/>
      <c r="IM8" s="339"/>
      <c r="IN8" s="339"/>
      <c r="IO8" s="339"/>
      <c r="IP8" s="339"/>
      <c r="IQ8" s="339"/>
      <c r="IR8" s="339"/>
      <c r="IS8" s="339"/>
      <c r="IT8" s="339"/>
      <c r="IU8" s="339"/>
      <c r="IV8" s="339"/>
      <c r="IW8" s="339"/>
      <c r="IX8" s="339"/>
      <c r="IY8" s="339"/>
      <c r="IZ8" s="339"/>
      <c r="JA8" s="339"/>
      <c r="JB8" s="339"/>
      <c r="JC8" s="339"/>
      <c r="JD8" s="339"/>
      <c r="JE8" s="339"/>
      <c r="JF8" s="339"/>
      <c r="JG8" s="339"/>
      <c r="JH8" s="339"/>
      <c r="JI8" s="339"/>
      <c r="JJ8" s="339"/>
      <c r="JK8" s="339"/>
      <c r="JL8" s="339"/>
      <c r="JM8" s="339"/>
      <c r="JN8" s="339"/>
      <c r="JO8" s="339"/>
      <c r="JP8" s="339"/>
      <c r="JQ8" s="339"/>
      <c r="JR8" s="339"/>
      <c r="JS8" s="339"/>
      <c r="JT8" s="339"/>
      <c r="JU8" s="339"/>
      <c r="JV8" s="339"/>
      <c r="JW8" s="339"/>
      <c r="JX8" s="339"/>
      <c r="JY8" s="339"/>
      <c r="JZ8" s="339"/>
      <c r="KA8" s="339"/>
      <c r="KB8" s="339"/>
      <c r="KC8" s="339"/>
      <c r="KD8" s="339"/>
      <c r="KE8" s="339"/>
      <c r="KF8" s="339"/>
      <c r="KG8" s="339"/>
      <c r="KH8" s="339"/>
      <c r="KI8" s="339"/>
      <c r="KJ8" s="339"/>
      <c r="KK8" s="339"/>
      <c r="KL8" s="339"/>
      <c r="KM8" s="339"/>
      <c r="KN8" s="339"/>
    </row>
    <row r="9" spans="1:300">
      <c r="A9" s="1" t="s">
        <v>1</v>
      </c>
      <c r="B9" s="401" t="s">
        <v>12</v>
      </c>
      <c r="C9" s="401"/>
    </row>
    <row r="10" spans="1:300">
      <c r="A10" s="1" t="s">
        <v>1</v>
      </c>
      <c r="B10" s="15" t="s">
        <v>13</v>
      </c>
      <c r="C10" s="14">
        <v>166099.41428571427</v>
      </c>
    </row>
    <row r="11" spans="1:300">
      <c r="A11" s="1" t="s">
        <v>1</v>
      </c>
      <c r="B11" s="4" t="s">
        <v>14</v>
      </c>
      <c r="C11" s="3">
        <v>164543.57863</v>
      </c>
    </row>
    <row r="12" spans="1:300">
      <c r="A12" s="1" t="s">
        <v>1</v>
      </c>
      <c r="B12" s="4" t="s">
        <v>15</v>
      </c>
      <c r="C12" s="3">
        <v>166099.41428999999</v>
      </c>
    </row>
    <row r="13" spans="1:300">
      <c r="A13" s="1" t="s">
        <v>1</v>
      </c>
      <c r="B13" s="4" t="s">
        <v>16</v>
      </c>
      <c r="C13" s="3">
        <v>-0.93700000000000006</v>
      </c>
    </row>
    <row r="14" spans="1:300">
      <c r="A14" s="1" t="s">
        <v>1</v>
      </c>
      <c r="B14" s="4" t="s">
        <v>17</v>
      </c>
      <c r="C14" s="3">
        <v>173344.9</v>
      </c>
    </row>
    <row r="15" spans="1:300">
      <c r="A15" s="1" t="s">
        <v>1</v>
      </c>
      <c r="B15" s="4" t="s">
        <v>18</v>
      </c>
      <c r="C15" s="3">
        <v>130380</v>
      </c>
    </row>
    <row r="16" spans="1:300">
      <c r="A16" s="1" t="s">
        <v>1</v>
      </c>
      <c r="B16" s="4" t="s">
        <v>19</v>
      </c>
      <c r="C16" s="3">
        <v>185871</v>
      </c>
    </row>
    <row r="17" spans="1:300">
      <c r="A17" s="339" t="s">
        <v>1</v>
      </c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339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  <c r="BP17" s="339"/>
      <c r="BQ17" s="339"/>
      <c r="BR17" s="339"/>
      <c r="BS17" s="339"/>
      <c r="BT17" s="339"/>
      <c r="BU17" s="339"/>
      <c r="BV17" s="339"/>
      <c r="BW17" s="339"/>
      <c r="BX17" s="339"/>
      <c r="BY17" s="339"/>
      <c r="BZ17" s="339"/>
      <c r="CA17" s="339"/>
      <c r="CB17" s="339"/>
      <c r="CC17" s="339"/>
      <c r="CD17" s="339"/>
      <c r="CE17" s="339"/>
      <c r="CF17" s="339"/>
      <c r="CG17" s="339"/>
      <c r="CH17" s="339"/>
      <c r="CI17" s="339"/>
      <c r="CJ17" s="339"/>
      <c r="CK17" s="339"/>
      <c r="CL17" s="339"/>
      <c r="CM17" s="339"/>
      <c r="CN17" s="339"/>
      <c r="CO17" s="339"/>
      <c r="CP17" s="339"/>
      <c r="CQ17" s="339"/>
      <c r="CR17" s="339"/>
      <c r="CS17" s="339"/>
      <c r="CT17" s="339"/>
      <c r="CU17" s="339"/>
      <c r="CV17" s="339"/>
      <c r="CW17" s="339"/>
      <c r="CX17" s="339"/>
      <c r="CY17" s="339"/>
      <c r="CZ17" s="339"/>
      <c r="DA17" s="339"/>
      <c r="DB17" s="339"/>
      <c r="DC17" s="339"/>
      <c r="DD17" s="339"/>
      <c r="DE17" s="339"/>
      <c r="DF17" s="339"/>
      <c r="DG17" s="339"/>
      <c r="DH17" s="339"/>
      <c r="DI17" s="339"/>
      <c r="DJ17" s="339"/>
      <c r="DK17" s="339"/>
      <c r="DL17" s="339"/>
      <c r="DM17" s="339"/>
      <c r="DN17" s="339"/>
      <c r="DO17" s="339"/>
      <c r="DP17" s="339"/>
      <c r="DQ17" s="339"/>
      <c r="DR17" s="339"/>
      <c r="DS17" s="339"/>
      <c r="DT17" s="339"/>
      <c r="DU17" s="339"/>
      <c r="DV17" s="339"/>
      <c r="DW17" s="339"/>
      <c r="DX17" s="339"/>
      <c r="DY17" s="339"/>
      <c r="DZ17" s="339"/>
      <c r="EA17" s="339"/>
      <c r="EB17" s="339"/>
      <c r="EC17" s="339"/>
      <c r="ED17" s="339"/>
      <c r="EE17" s="339"/>
      <c r="EF17" s="339"/>
      <c r="EG17" s="339"/>
      <c r="EH17" s="339"/>
      <c r="EI17" s="339"/>
      <c r="EJ17" s="339"/>
      <c r="EK17" s="339"/>
      <c r="EL17" s="339"/>
      <c r="EM17" s="339"/>
      <c r="EN17" s="339"/>
      <c r="EO17" s="339"/>
      <c r="EP17" s="339"/>
      <c r="EQ17" s="339"/>
      <c r="ER17" s="339"/>
      <c r="ES17" s="339"/>
      <c r="ET17" s="339"/>
      <c r="EU17" s="339"/>
      <c r="EV17" s="339"/>
      <c r="EW17" s="339"/>
      <c r="EX17" s="339"/>
      <c r="EY17" s="339"/>
      <c r="EZ17" s="339"/>
      <c r="FA17" s="339"/>
      <c r="FB17" s="339"/>
      <c r="FC17" s="339"/>
      <c r="FD17" s="339"/>
      <c r="FE17" s="339"/>
      <c r="FF17" s="339"/>
      <c r="FG17" s="339"/>
      <c r="FH17" s="339"/>
      <c r="FI17" s="339"/>
      <c r="FJ17" s="339"/>
      <c r="FK17" s="339"/>
      <c r="FL17" s="339"/>
      <c r="FM17" s="339"/>
      <c r="FN17" s="339"/>
      <c r="FO17" s="339"/>
      <c r="FP17" s="339"/>
      <c r="FQ17" s="339"/>
      <c r="FR17" s="339"/>
      <c r="FS17" s="339"/>
      <c r="FT17" s="339"/>
      <c r="FU17" s="339"/>
      <c r="FV17" s="339"/>
      <c r="FW17" s="339"/>
      <c r="FX17" s="339"/>
      <c r="FY17" s="339"/>
      <c r="FZ17" s="339"/>
      <c r="GA17" s="339"/>
      <c r="GB17" s="339"/>
      <c r="GC17" s="339"/>
      <c r="GD17" s="339"/>
      <c r="GE17" s="339"/>
      <c r="GF17" s="339"/>
      <c r="GG17" s="339"/>
      <c r="GH17" s="339"/>
      <c r="GI17" s="339"/>
      <c r="GJ17" s="339"/>
      <c r="GK17" s="339"/>
      <c r="GL17" s="339"/>
      <c r="GM17" s="339"/>
      <c r="GN17" s="339"/>
      <c r="GO17" s="339"/>
      <c r="GP17" s="339"/>
      <c r="GQ17" s="339"/>
      <c r="GR17" s="339"/>
      <c r="GS17" s="339"/>
      <c r="GT17" s="339"/>
      <c r="GU17" s="339"/>
      <c r="GV17" s="339"/>
      <c r="GW17" s="339"/>
      <c r="GX17" s="339"/>
      <c r="GY17" s="339"/>
      <c r="GZ17" s="339"/>
      <c r="HA17" s="339"/>
      <c r="HB17" s="339"/>
      <c r="HC17" s="339"/>
      <c r="HD17" s="339"/>
      <c r="HE17" s="339"/>
      <c r="HF17" s="339"/>
      <c r="HG17" s="339"/>
      <c r="HH17" s="339"/>
      <c r="HI17" s="339"/>
      <c r="HJ17" s="339"/>
      <c r="HK17" s="339"/>
      <c r="HL17" s="339"/>
      <c r="HM17" s="339"/>
      <c r="HN17" s="339"/>
      <c r="HO17" s="339"/>
      <c r="HP17" s="339"/>
      <c r="HQ17" s="339"/>
      <c r="HR17" s="339"/>
      <c r="HS17" s="339"/>
      <c r="HT17" s="339"/>
      <c r="HU17" s="339"/>
      <c r="HV17" s="339"/>
      <c r="HW17" s="339"/>
      <c r="HX17" s="339"/>
      <c r="HY17" s="339"/>
      <c r="HZ17" s="339"/>
      <c r="IA17" s="339"/>
      <c r="IB17" s="339"/>
      <c r="IC17" s="339"/>
      <c r="ID17" s="339"/>
      <c r="IE17" s="339"/>
      <c r="IF17" s="339"/>
      <c r="IG17" s="339"/>
      <c r="IH17" s="339"/>
      <c r="II17" s="339"/>
      <c r="IJ17" s="339"/>
      <c r="IK17" s="339"/>
      <c r="IL17" s="339"/>
      <c r="IM17" s="339"/>
      <c r="IN17" s="339"/>
      <c r="IO17" s="339"/>
      <c r="IP17" s="339"/>
      <c r="IQ17" s="339"/>
      <c r="IR17" s="339"/>
      <c r="IS17" s="339"/>
      <c r="IT17" s="339"/>
      <c r="IU17" s="339"/>
      <c r="IV17" s="339"/>
      <c r="IW17" s="339"/>
      <c r="IX17" s="339"/>
      <c r="IY17" s="339"/>
      <c r="IZ17" s="339"/>
      <c r="JA17" s="339"/>
      <c r="JB17" s="339"/>
      <c r="JC17" s="339"/>
      <c r="JD17" s="339"/>
      <c r="JE17" s="339"/>
      <c r="JF17" s="339"/>
      <c r="JG17" s="339"/>
      <c r="JH17" s="339"/>
      <c r="JI17" s="339"/>
      <c r="JJ17" s="339"/>
      <c r="JK17" s="339"/>
      <c r="JL17" s="339"/>
      <c r="JM17" s="339"/>
      <c r="JN17" s="339"/>
      <c r="JO17" s="339"/>
      <c r="JP17" s="339"/>
      <c r="JQ17" s="339"/>
      <c r="JR17" s="339"/>
      <c r="JS17" s="339"/>
      <c r="JT17" s="339"/>
      <c r="JU17" s="339"/>
      <c r="JV17" s="339"/>
      <c r="JW17" s="339"/>
      <c r="JX17" s="339"/>
      <c r="JY17" s="339"/>
      <c r="JZ17" s="339"/>
      <c r="KA17" s="339"/>
      <c r="KB17" s="339"/>
      <c r="KC17" s="339"/>
      <c r="KD17" s="339"/>
      <c r="KE17" s="339"/>
      <c r="KF17" s="339"/>
      <c r="KG17" s="339"/>
      <c r="KH17" s="339"/>
      <c r="KI17" s="339"/>
      <c r="KJ17" s="339"/>
      <c r="KK17" s="339"/>
      <c r="KL17" s="339"/>
      <c r="KM17" s="339"/>
      <c r="KN17" s="339"/>
    </row>
    <row r="18" spans="1:300">
      <c r="A18" s="1" t="s">
        <v>1</v>
      </c>
      <c r="B18" s="401" t="s">
        <v>20</v>
      </c>
      <c r="C18" s="401"/>
    </row>
    <row r="19" spans="1:300">
      <c r="A19" s="1" t="s">
        <v>1</v>
      </c>
      <c r="B19" s="4" t="s">
        <v>117</v>
      </c>
      <c r="C19" s="3" t="s">
        <v>22</v>
      </c>
    </row>
    <row r="20" spans="1:300">
      <c r="A20" s="1" t="s">
        <v>1</v>
      </c>
      <c r="B20" s="4" t="s">
        <v>23</v>
      </c>
      <c r="C20" s="3">
        <v>-0.43</v>
      </c>
    </row>
    <row r="21" spans="1:300">
      <c r="A21" s="1" t="s">
        <v>1</v>
      </c>
      <c r="B21" s="4" t="s">
        <v>24</v>
      </c>
      <c r="C21" s="3">
        <v>6.7610000000000001</v>
      </c>
    </row>
    <row r="22" spans="1:300">
      <c r="A22" s="339" t="s">
        <v>1</v>
      </c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  <c r="BY22" s="339"/>
      <c r="BZ22" s="339"/>
      <c r="CA22" s="339"/>
      <c r="CB22" s="339"/>
      <c r="CC22" s="339"/>
      <c r="CD22" s="339"/>
      <c r="CE22" s="339"/>
      <c r="CF22" s="339"/>
      <c r="CG22" s="339"/>
      <c r="CH22" s="339"/>
      <c r="CI22" s="339"/>
      <c r="CJ22" s="339"/>
      <c r="CK22" s="339"/>
      <c r="CL22" s="339"/>
      <c r="CM22" s="339"/>
      <c r="CN22" s="339"/>
      <c r="CO22" s="339"/>
      <c r="CP22" s="339"/>
      <c r="CQ22" s="339"/>
      <c r="CR22" s="339"/>
      <c r="CS22" s="339"/>
      <c r="CT22" s="339"/>
      <c r="CU22" s="339"/>
      <c r="CV22" s="339"/>
      <c r="CW22" s="339"/>
      <c r="CX22" s="339"/>
      <c r="CY22" s="339"/>
      <c r="CZ22" s="339"/>
      <c r="DA22" s="339"/>
      <c r="DB22" s="339"/>
      <c r="DC22" s="339"/>
      <c r="DD22" s="339"/>
      <c r="DE22" s="339"/>
      <c r="DF22" s="339"/>
      <c r="DG22" s="339"/>
      <c r="DH22" s="339"/>
      <c r="DI22" s="339"/>
      <c r="DJ22" s="339"/>
      <c r="DK22" s="339"/>
      <c r="DL22" s="339"/>
      <c r="DM22" s="339"/>
      <c r="DN22" s="339"/>
      <c r="DO22" s="339"/>
      <c r="DP22" s="339"/>
      <c r="DQ22" s="339"/>
      <c r="DR22" s="339"/>
      <c r="DS22" s="339"/>
      <c r="DT22" s="339"/>
      <c r="DU22" s="339"/>
      <c r="DV22" s="339"/>
      <c r="DW22" s="339"/>
      <c r="DX22" s="339"/>
      <c r="DY22" s="339"/>
      <c r="DZ22" s="339"/>
      <c r="EA22" s="339"/>
      <c r="EB22" s="339"/>
      <c r="EC22" s="339"/>
      <c r="ED22" s="339"/>
      <c r="EE22" s="339"/>
      <c r="EF22" s="339"/>
      <c r="EG22" s="339"/>
      <c r="EH22" s="339"/>
      <c r="EI22" s="339"/>
      <c r="EJ22" s="339"/>
      <c r="EK22" s="339"/>
      <c r="EL22" s="339"/>
      <c r="EM22" s="339"/>
      <c r="EN22" s="339"/>
      <c r="EO22" s="339"/>
      <c r="EP22" s="339"/>
      <c r="EQ22" s="339"/>
      <c r="ER22" s="339"/>
      <c r="ES22" s="339"/>
      <c r="ET22" s="339"/>
      <c r="EU22" s="339"/>
      <c r="EV22" s="339"/>
      <c r="EW22" s="339"/>
      <c r="EX22" s="339"/>
      <c r="EY22" s="339"/>
      <c r="EZ22" s="339"/>
      <c r="FA22" s="339"/>
      <c r="FB22" s="339"/>
      <c r="FC22" s="339"/>
      <c r="FD22" s="339"/>
      <c r="FE22" s="339"/>
      <c r="FF22" s="339"/>
      <c r="FG22" s="339"/>
      <c r="FH22" s="339"/>
      <c r="FI22" s="339"/>
      <c r="FJ22" s="339"/>
      <c r="FK22" s="339"/>
      <c r="FL22" s="339"/>
      <c r="FM22" s="339"/>
      <c r="FN22" s="339"/>
      <c r="FO22" s="339"/>
      <c r="FP22" s="339"/>
      <c r="FQ22" s="339"/>
      <c r="FR22" s="339"/>
      <c r="FS22" s="339"/>
      <c r="FT22" s="339"/>
      <c r="FU22" s="339"/>
      <c r="FV22" s="339"/>
      <c r="FW22" s="339"/>
      <c r="FX22" s="339"/>
      <c r="FY22" s="339"/>
      <c r="FZ22" s="339"/>
      <c r="GA22" s="339"/>
      <c r="GB22" s="339"/>
      <c r="GC22" s="339"/>
      <c r="GD22" s="339"/>
      <c r="GE22" s="339"/>
      <c r="GF22" s="339"/>
      <c r="GG22" s="339"/>
      <c r="GH22" s="339"/>
      <c r="GI22" s="339"/>
      <c r="GJ22" s="339"/>
      <c r="GK22" s="339"/>
      <c r="GL22" s="339"/>
      <c r="GM22" s="339"/>
      <c r="GN22" s="339"/>
      <c r="GO22" s="339"/>
      <c r="GP22" s="339"/>
      <c r="GQ22" s="339"/>
      <c r="GR22" s="339"/>
      <c r="GS22" s="339"/>
      <c r="GT22" s="339"/>
      <c r="GU22" s="339"/>
      <c r="GV22" s="339"/>
      <c r="GW22" s="339"/>
      <c r="GX22" s="339"/>
      <c r="GY22" s="339"/>
      <c r="GZ22" s="339"/>
      <c r="HA22" s="339"/>
      <c r="HB22" s="339"/>
      <c r="HC22" s="339"/>
      <c r="HD22" s="339"/>
      <c r="HE22" s="339"/>
      <c r="HF22" s="339"/>
      <c r="HG22" s="339"/>
      <c r="HH22" s="339"/>
      <c r="HI22" s="339"/>
      <c r="HJ22" s="339"/>
      <c r="HK22" s="339"/>
      <c r="HL22" s="339"/>
      <c r="HM22" s="339"/>
      <c r="HN22" s="339"/>
      <c r="HO22" s="339"/>
      <c r="HP22" s="339"/>
      <c r="HQ22" s="339"/>
      <c r="HR22" s="339"/>
      <c r="HS22" s="339"/>
      <c r="HT22" s="339"/>
      <c r="HU22" s="339"/>
      <c r="HV22" s="339"/>
      <c r="HW22" s="339"/>
      <c r="HX22" s="339"/>
      <c r="HY22" s="339"/>
      <c r="HZ22" s="339"/>
      <c r="IA22" s="339"/>
      <c r="IB22" s="339"/>
      <c r="IC22" s="339"/>
      <c r="ID22" s="339"/>
      <c r="IE22" s="339"/>
      <c r="IF22" s="339"/>
      <c r="IG22" s="339"/>
      <c r="IH22" s="339"/>
      <c r="II22" s="339"/>
      <c r="IJ22" s="339"/>
      <c r="IK22" s="339"/>
      <c r="IL22" s="339"/>
      <c r="IM22" s="339"/>
      <c r="IN22" s="339"/>
      <c r="IO22" s="339"/>
      <c r="IP22" s="339"/>
      <c r="IQ22" s="339"/>
      <c r="IR22" s="339"/>
      <c r="IS22" s="339"/>
      <c r="IT22" s="339"/>
      <c r="IU22" s="339"/>
      <c r="IV22" s="339"/>
      <c r="IW22" s="339"/>
      <c r="IX22" s="339"/>
      <c r="IY22" s="339"/>
      <c r="IZ22" s="339"/>
      <c r="JA22" s="339"/>
      <c r="JB22" s="339"/>
      <c r="JC22" s="339"/>
      <c r="JD22" s="339"/>
      <c r="JE22" s="339"/>
      <c r="JF22" s="339"/>
      <c r="JG22" s="339"/>
      <c r="JH22" s="339"/>
      <c r="JI22" s="339"/>
      <c r="JJ22" s="339"/>
      <c r="JK22" s="339"/>
      <c r="JL22" s="339"/>
      <c r="JM22" s="339"/>
      <c r="JN22" s="339"/>
      <c r="JO22" s="339"/>
      <c r="JP22" s="339"/>
      <c r="JQ22" s="339"/>
      <c r="JR22" s="339"/>
      <c r="JS22" s="339"/>
      <c r="JT22" s="339"/>
      <c r="JU22" s="339"/>
      <c r="JV22" s="339"/>
      <c r="JW22" s="339"/>
      <c r="JX22" s="339"/>
      <c r="JY22" s="339"/>
      <c r="JZ22" s="339"/>
      <c r="KA22" s="339"/>
      <c r="KB22" s="339"/>
      <c r="KC22" s="339"/>
      <c r="KD22" s="339"/>
      <c r="KE22" s="339"/>
      <c r="KF22" s="339"/>
      <c r="KG22" s="339"/>
      <c r="KH22" s="339"/>
      <c r="KI22" s="339"/>
      <c r="KJ22" s="339"/>
      <c r="KK22" s="339"/>
      <c r="KL22" s="339"/>
      <c r="KM22" s="339"/>
      <c r="KN22" s="339"/>
    </row>
    <row r="23" spans="1:300">
      <c r="A23" s="1" t="s">
        <v>1</v>
      </c>
      <c r="B23" s="401" t="s">
        <v>25</v>
      </c>
      <c r="C23" s="401"/>
      <c r="D23" s="401"/>
      <c r="E23" s="401"/>
    </row>
    <row r="24" spans="1:300">
      <c r="A24" s="1" t="s">
        <v>1</v>
      </c>
      <c r="B24" s="9" t="s">
        <v>26</v>
      </c>
      <c r="C24" s="9" t="s">
        <v>27</v>
      </c>
      <c r="D24" s="9" t="s">
        <v>28</v>
      </c>
      <c r="E24" s="9" t="s">
        <v>29</v>
      </c>
    </row>
    <row r="25" spans="1:300">
      <c r="A25" s="1" t="s">
        <v>1</v>
      </c>
      <c r="B25" s="4" t="s">
        <v>30</v>
      </c>
      <c r="C25" s="4" t="s">
        <v>31</v>
      </c>
      <c r="D25" s="3">
        <v>174465.6</v>
      </c>
      <c r="E25" s="3">
        <v>105.03685443188448</v>
      </c>
    </row>
    <row r="26" spans="1:300">
      <c r="A26" s="1" t="s">
        <v>1</v>
      </c>
      <c r="B26" s="4" t="s">
        <v>30</v>
      </c>
      <c r="C26" s="4" t="s">
        <v>32</v>
      </c>
      <c r="D26" s="3">
        <v>10034</v>
      </c>
      <c r="E26" s="3">
        <v>6.0409604951894744</v>
      </c>
    </row>
    <row r="27" spans="1:300">
      <c r="A27" s="1" t="s">
        <v>1</v>
      </c>
      <c r="B27" s="4" t="s">
        <v>30</v>
      </c>
      <c r="C27" s="4" t="s">
        <v>33</v>
      </c>
      <c r="D27" s="3">
        <v>3.5</v>
      </c>
      <c r="E27" s="3">
        <v>2.1071717892329239E-3</v>
      </c>
    </row>
    <row r="28" spans="1:300">
      <c r="A28" s="339" t="s">
        <v>1</v>
      </c>
      <c r="B28" s="339"/>
      <c r="C28" s="339"/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39"/>
      <c r="Q28" s="339"/>
      <c r="R28" s="339"/>
      <c r="S28" s="339"/>
      <c r="T28" s="339"/>
      <c r="U28" s="339"/>
      <c r="V28" s="339"/>
      <c r="W28" s="339"/>
      <c r="X28" s="339"/>
      <c r="Y28" s="339"/>
      <c r="Z28" s="339"/>
      <c r="AA28" s="339"/>
      <c r="AB28" s="339"/>
      <c r="AC28" s="339"/>
      <c r="AD28" s="339"/>
      <c r="AE28" s="339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39"/>
      <c r="AT28" s="339"/>
      <c r="AU28" s="339"/>
      <c r="AV28" s="339"/>
      <c r="AW28" s="339"/>
      <c r="AX28" s="339"/>
      <c r="AY28" s="339"/>
      <c r="AZ28" s="339"/>
      <c r="BA28" s="339"/>
      <c r="BB28" s="339"/>
      <c r="BC28" s="339"/>
      <c r="BD28" s="339"/>
      <c r="BE28" s="339"/>
      <c r="BF28" s="339"/>
      <c r="BG28" s="339"/>
      <c r="BH28" s="339"/>
      <c r="BI28" s="339"/>
      <c r="BJ28" s="339"/>
      <c r="BK28" s="339"/>
      <c r="BL28" s="339"/>
      <c r="BM28" s="339"/>
      <c r="BN28" s="339"/>
      <c r="BO28" s="339"/>
      <c r="BP28" s="339"/>
      <c r="BQ28" s="339"/>
      <c r="BR28" s="339"/>
      <c r="BS28" s="339"/>
      <c r="BT28" s="339"/>
      <c r="BU28" s="339"/>
      <c r="BV28" s="339"/>
      <c r="BW28" s="339"/>
      <c r="BX28" s="339"/>
      <c r="BY28" s="339"/>
      <c r="BZ28" s="339"/>
      <c r="CA28" s="339"/>
      <c r="CB28" s="339"/>
      <c r="CC28" s="339"/>
      <c r="CD28" s="339"/>
      <c r="CE28" s="339"/>
      <c r="CF28" s="339"/>
      <c r="CG28" s="339"/>
      <c r="CH28" s="339"/>
      <c r="CI28" s="339"/>
      <c r="CJ28" s="339"/>
      <c r="CK28" s="339"/>
      <c r="CL28" s="339"/>
      <c r="CM28" s="339"/>
      <c r="CN28" s="339"/>
      <c r="CO28" s="339"/>
      <c r="CP28" s="339"/>
      <c r="CQ28" s="339"/>
      <c r="CR28" s="339"/>
      <c r="CS28" s="339"/>
      <c r="CT28" s="339"/>
      <c r="CU28" s="339"/>
      <c r="CV28" s="339"/>
      <c r="CW28" s="339"/>
      <c r="CX28" s="339"/>
      <c r="CY28" s="339"/>
      <c r="CZ28" s="339"/>
      <c r="DA28" s="339"/>
      <c r="DB28" s="339"/>
      <c r="DC28" s="339"/>
      <c r="DD28" s="339"/>
      <c r="DE28" s="339"/>
      <c r="DF28" s="339"/>
      <c r="DG28" s="339"/>
      <c r="DH28" s="339"/>
      <c r="DI28" s="339"/>
      <c r="DJ28" s="339"/>
      <c r="DK28" s="339"/>
      <c r="DL28" s="339"/>
      <c r="DM28" s="339"/>
      <c r="DN28" s="339"/>
      <c r="DO28" s="339"/>
      <c r="DP28" s="339"/>
      <c r="DQ28" s="339"/>
      <c r="DR28" s="339"/>
      <c r="DS28" s="339"/>
      <c r="DT28" s="339"/>
      <c r="DU28" s="339"/>
      <c r="DV28" s="339"/>
      <c r="DW28" s="339"/>
      <c r="DX28" s="339"/>
      <c r="DY28" s="339"/>
      <c r="DZ28" s="339"/>
      <c r="EA28" s="339"/>
      <c r="EB28" s="339"/>
      <c r="EC28" s="339"/>
      <c r="ED28" s="339"/>
      <c r="EE28" s="339"/>
      <c r="EF28" s="339"/>
      <c r="EG28" s="339"/>
      <c r="EH28" s="339"/>
      <c r="EI28" s="339"/>
      <c r="EJ28" s="339"/>
      <c r="EK28" s="339"/>
      <c r="EL28" s="339"/>
      <c r="EM28" s="339"/>
      <c r="EN28" s="339"/>
      <c r="EO28" s="339"/>
      <c r="EP28" s="339"/>
      <c r="EQ28" s="339"/>
      <c r="ER28" s="339"/>
      <c r="ES28" s="339"/>
      <c r="ET28" s="339"/>
      <c r="EU28" s="339"/>
      <c r="EV28" s="339"/>
      <c r="EW28" s="339"/>
      <c r="EX28" s="339"/>
      <c r="EY28" s="339"/>
      <c r="EZ28" s="339"/>
      <c r="FA28" s="339"/>
      <c r="FB28" s="339"/>
      <c r="FC28" s="339"/>
      <c r="FD28" s="339"/>
      <c r="FE28" s="339"/>
      <c r="FF28" s="339"/>
      <c r="FG28" s="339"/>
      <c r="FH28" s="339"/>
      <c r="FI28" s="339"/>
      <c r="FJ28" s="339"/>
      <c r="FK28" s="339"/>
      <c r="FL28" s="339"/>
      <c r="FM28" s="339"/>
      <c r="FN28" s="339"/>
      <c r="FO28" s="339"/>
      <c r="FP28" s="339"/>
      <c r="FQ28" s="339"/>
      <c r="FR28" s="339"/>
      <c r="FS28" s="339"/>
      <c r="FT28" s="339"/>
      <c r="FU28" s="339"/>
      <c r="FV28" s="339"/>
      <c r="FW28" s="339"/>
      <c r="FX28" s="339"/>
      <c r="FY28" s="339"/>
      <c r="FZ28" s="339"/>
      <c r="GA28" s="339"/>
      <c r="GB28" s="339"/>
      <c r="GC28" s="339"/>
      <c r="GD28" s="339"/>
      <c r="GE28" s="339"/>
      <c r="GF28" s="339"/>
      <c r="GG28" s="339"/>
      <c r="GH28" s="339"/>
      <c r="GI28" s="339"/>
      <c r="GJ28" s="339"/>
      <c r="GK28" s="339"/>
      <c r="GL28" s="339"/>
      <c r="GM28" s="339"/>
      <c r="GN28" s="339"/>
      <c r="GO28" s="339"/>
      <c r="GP28" s="339"/>
      <c r="GQ28" s="339"/>
      <c r="GR28" s="339"/>
      <c r="GS28" s="339"/>
      <c r="GT28" s="339"/>
      <c r="GU28" s="339"/>
      <c r="GV28" s="339"/>
      <c r="GW28" s="339"/>
      <c r="GX28" s="339"/>
      <c r="GY28" s="339"/>
      <c r="GZ28" s="339"/>
      <c r="HA28" s="339"/>
      <c r="HB28" s="339"/>
      <c r="HC28" s="339"/>
      <c r="HD28" s="339"/>
      <c r="HE28" s="339"/>
      <c r="HF28" s="339"/>
      <c r="HG28" s="339"/>
      <c r="HH28" s="339"/>
      <c r="HI28" s="339"/>
      <c r="HJ28" s="339"/>
      <c r="HK28" s="339"/>
      <c r="HL28" s="339"/>
      <c r="HM28" s="339"/>
      <c r="HN28" s="339"/>
      <c r="HO28" s="339"/>
      <c r="HP28" s="339"/>
      <c r="HQ28" s="339"/>
      <c r="HR28" s="339"/>
      <c r="HS28" s="339"/>
      <c r="HT28" s="339"/>
      <c r="HU28" s="339"/>
      <c r="HV28" s="339"/>
      <c r="HW28" s="339"/>
      <c r="HX28" s="339"/>
      <c r="HY28" s="339"/>
      <c r="HZ28" s="339"/>
      <c r="IA28" s="339"/>
      <c r="IB28" s="339"/>
      <c r="IC28" s="339"/>
      <c r="ID28" s="339"/>
      <c r="IE28" s="339"/>
      <c r="IF28" s="339"/>
      <c r="IG28" s="339"/>
      <c r="IH28" s="339"/>
      <c r="II28" s="339"/>
      <c r="IJ28" s="339"/>
      <c r="IK28" s="339"/>
      <c r="IL28" s="339"/>
      <c r="IM28" s="339"/>
      <c r="IN28" s="339"/>
      <c r="IO28" s="339"/>
      <c r="IP28" s="339"/>
      <c r="IQ28" s="339"/>
      <c r="IR28" s="339"/>
      <c r="IS28" s="339"/>
      <c r="IT28" s="339"/>
      <c r="IU28" s="339"/>
      <c r="IV28" s="339"/>
      <c r="IW28" s="339"/>
      <c r="IX28" s="339"/>
      <c r="IY28" s="339"/>
      <c r="IZ28" s="339"/>
      <c r="JA28" s="339"/>
      <c r="JB28" s="339"/>
      <c r="JC28" s="339"/>
      <c r="JD28" s="339"/>
      <c r="JE28" s="339"/>
      <c r="JF28" s="339"/>
      <c r="JG28" s="339"/>
      <c r="JH28" s="339"/>
      <c r="JI28" s="339"/>
      <c r="JJ28" s="339"/>
      <c r="JK28" s="339"/>
      <c r="JL28" s="339"/>
      <c r="JM28" s="339"/>
      <c r="JN28" s="339"/>
      <c r="JO28" s="339"/>
      <c r="JP28" s="339"/>
      <c r="JQ28" s="339"/>
      <c r="JR28" s="339"/>
      <c r="JS28" s="339"/>
      <c r="JT28" s="339"/>
      <c r="JU28" s="339"/>
      <c r="JV28" s="339"/>
      <c r="JW28" s="339"/>
      <c r="JX28" s="339"/>
      <c r="JY28" s="339"/>
      <c r="JZ28" s="339"/>
      <c r="KA28" s="339"/>
      <c r="KB28" s="339"/>
      <c r="KC28" s="339"/>
      <c r="KD28" s="339"/>
      <c r="KE28" s="339"/>
      <c r="KF28" s="339"/>
      <c r="KG28" s="339"/>
      <c r="KH28" s="339"/>
      <c r="KI28" s="339"/>
      <c r="KJ28" s="339"/>
      <c r="KK28" s="339"/>
      <c r="KL28" s="339"/>
      <c r="KM28" s="339"/>
      <c r="KN28" s="339"/>
    </row>
    <row r="29" spans="1:300">
      <c r="A29" s="401" t="s">
        <v>46</v>
      </c>
      <c r="B29" s="401"/>
      <c r="C29" s="401"/>
      <c r="D29" s="401"/>
      <c r="E29" s="401"/>
      <c r="F29" s="401"/>
      <c r="G29" s="401"/>
      <c r="H29" s="401"/>
      <c r="I29" s="401"/>
      <c r="J29" s="401"/>
      <c r="K29" s="401"/>
    </row>
    <row r="30" spans="1:300">
      <c r="A30" s="401" t="s">
        <v>118</v>
      </c>
      <c r="B30" s="401"/>
      <c r="C30" s="401"/>
      <c r="D30" s="401"/>
      <c r="E30" s="401"/>
      <c r="F30" s="401"/>
      <c r="G30" s="401"/>
      <c r="H30" s="401"/>
      <c r="I30" s="401"/>
      <c r="J30" s="401"/>
      <c r="K30" s="401"/>
    </row>
    <row r="31" spans="1:300">
      <c r="A31" s="9" t="s">
        <v>1</v>
      </c>
      <c r="B31" s="9" t="s">
        <v>48</v>
      </c>
      <c r="C31" s="9" t="s">
        <v>49</v>
      </c>
      <c r="D31" s="9" t="s">
        <v>50</v>
      </c>
      <c r="E31" s="9" t="s">
        <v>51</v>
      </c>
      <c r="F31" s="9" t="s">
        <v>52</v>
      </c>
      <c r="G31" s="9" t="s">
        <v>53</v>
      </c>
      <c r="H31" s="9" t="s">
        <v>54</v>
      </c>
      <c r="I31" s="9" t="s">
        <v>55</v>
      </c>
      <c r="J31" s="9" t="s">
        <v>56</v>
      </c>
      <c r="K31" s="9" t="s">
        <v>57</v>
      </c>
    </row>
    <row r="32" spans="1:300">
      <c r="A32" s="4" t="s">
        <v>58</v>
      </c>
      <c r="B32" s="4" t="s">
        <v>59</v>
      </c>
      <c r="C32" s="4" t="s">
        <v>59</v>
      </c>
      <c r="D32" s="4" t="s">
        <v>60</v>
      </c>
      <c r="E32" s="3">
        <v>130380</v>
      </c>
      <c r="F32" s="3">
        <v>-21.504840605660402</v>
      </c>
      <c r="G32" s="3">
        <v>130328</v>
      </c>
      <c r="H32" s="5">
        <v>36</v>
      </c>
      <c r="I32" s="4" t="s">
        <v>61</v>
      </c>
      <c r="J32" s="4" t="s">
        <v>40</v>
      </c>
      <c r="K32" s="3">
        <v>19.615672373301098</v>
      </c>
    </row>
    <row r="33" spans="1:300">
      <c r="A33" s="4" t="s">
        <v>58</v>
      </c>
      <c r="B33" s="4" t="s">
        <v>62</v>
      </c>
      <c r="C33" s="4" t="s">
        <v>63</v>
      </c>
      <c r="D33" s="4" t="s">
        <v>60</v>
      </c>
      <c r="E33" s="3">
        <v>185871</v>
      </c>
      <c r="F33" s="3">
        <v>11.9034650390037</v>
      </c>
      <c r="G33" s="3">
        <v>182421</v>
      </c>
      <c r="H33" s="5">
        <v>37</v>
      </c>
      <c r="I33" s="4" t="s">
        <v>64</v>
      </c>
      <c r="J33" s="4" t="s">
        <v>40</v>
      </c>
      <c r="K33" s="3">
        <v>16.359329927223399</v>
      </c>
    </row>
    <row r="34" spans="1:300">
      <c r="A34" s="4" t="s">
        <v>58</v>
      </c>
      <c r="B34" s="4" t="s">
        <v>59</v>
      </c>
      <c r="C34" s="4" t="s">
        <v>59</v>
      </c>
      <c r="D34" s="4" t="s">
        <v>65</v>
      </c>
      <c r="E34" s="3">
        <v>173634</v>
      </c>
      <c r="F34" s="3">
        <v>4.5361904147627303</v>
      </c>
      <c r="G34" s="3">
        <v>176936</v>
      </c>
      <c r="H34" s="5">
        <v>37</v>
      </c>
      <c r="I34" s="4" t="s">
        <v>64</v>
      </c>
      <c r="J34" s="4" t="s">
        <v>66</v>
      </c>
      <c r="K34" s="3">
        <v>13.4252609594988</v>
      </c>
    </row>
    <row r="35" spans="1:300" outlineLevel="1">
      <c r="A35" s="7" t="s">
        <v>1</v>
      </c>
      <c r="B35" s="7" t="s">
        <v>67</v>
      </c>
      <c r="C35" s="7" t="s">
        <v>1</v>
      </c>
      <c r="D35" s="7" t="s">
        <v>1</v>
      </c>
      <c r="E35" s="6">
        <v>173634</v>
      </c>
      <c r="F35" s="6" t="s">
        <v>1</v>
      </c>
      <c r="G35" s="6" t="s">
        <v>40</v>
      </c>
      <c r="H35" s="8">
        <v>37</v>
      </c>
      <c r="I35" s="7" t="s">
        <v>64</v>
      </c>
      <c r="J35" s="7" t="s">
        <v>40</v>
      </c>
      <c r="K35" s="6" t="s">
        <v>1</v>
      </c>
    </row>
    <row r="36" spans="1:300">
      <c r="A36" s="4" t="s">
        <v>58</v>
      </c>
      <c r="B36" s="4" t="s">
        <v>59</v>
      </c>
      <c r="C36" s="4" t="s">
        <v>59</v>
      </c>
      <c r="D36" s="4" t="s">
        <v>65</v>
      </c>
      <c r="E36" s="3">
        <v>173344.9</v>
      </c>
      <c r="F36" s="3">
        <v>4.36213802497209</v>
      </c>
      <c r="G36" s="3">
        <v>185852.2</v>
      </c>
      <c r="H36" s="5">
        <v>36</v>
      </c>
      <c r="I36" s="4" t="s">
        <v>61</v>
      </c>
      <c r="J36" s="4" t="s">
        <v>40</v>
      </c>
      <c r="K36" s="3">
        <v>13.347443217053501</v>
      </c>
    </row>
    <row r="37" spans="1:300" outlineLevel="1">
      <c r="A37" s="7" t="s">
        <v>1</v>
      </c>
      <c r="B37" s="7" t="s">
        <v>67</v>
      </c>
      <c r="C37" s="7" t="s">
        <v>1</v>
      </c>
      <c r="D37" s="7" t="s">
        <v>1</v>
      </c>
      <c r="E37" s="6">
        <v>182909</v>
      </c>
      <c r="F37" s="6" t="s">
        <v>1</v>
      </c>
      <c r="G37" s="6" t="s">
        <v>40</v>
      </c>
      <c r="H37" s="8">
        <v>127</v>
      </c>
      <c r="I37" s="7" t="s">
        <v>68</v>
      </c>
      <c r="J37" s="7" t="s">
        <v>40</v>
      </c>
      <c r="K37" s="6" t="s">
        <v>1</v>
      </c>
    </row>
    <row r="38" spans="1:300">
      <c r="A38" s="4" t="s">
        <v>58</v>
      </c>
      <c r="B38" s="4" t="s">
        <v>69</v>
      </c>
      <c r="C38" s="4" t="s">
        <v>70</v>
      </c>
      <c r="D38" s="4" t="s">
        <v>71</v>
      </c>
      <c r="E38" s="3">
        <v>161792</v>
      </c>
      <c r="F38" s="3">
        <v>-2.5932748218362098</v>
      </c>
      <c r="G38" s="3">
        <v>163683</v>
      </c>
      <c r="H38" s="5">
        <v>29</v>
      </c>
      <c r="I38" s="4" t="s">
        <v>72</v>
      </c>
      <c r="J38" s="4" t="s">
        <v>40</v>
      </c>
      <c r="K38" s="3">
        <v>12.8023189287157</v>
      </c>
    </row>
    <row r="39" spans="1:300">
      <c r="A39" s="4" t="s">
        <v>58</v>
      </c>
      <c r="B39" s="4" t="s">
        <v>75</v>
      </c>
      <c r="C39" s="4" t="s">
        <v>76</v>
      </c>
      <c r="D39" s="4" t="s">
        <v>71</v>
      </c>
      <c r="E39" s="3">
        <v>175174</v>
      </c>
      <c r="F39" s="3">
        <v>5.4633460020252196</v>
      </c>
      <c r="G39" s="3">
        <v>176319</v>
      </c>
      <c r="H39" s="5">
        <v>32</v>
      </c>
      <c r="I39" s="4" t="s">
        <v>77</v>
      </c>
      <c r="J39" s="4" t="s">
        <v>40</v>
      </c>
      <c r="K39" s="3">
        <v>13.169602669408601</v>
      </c>
    </row>
    <row r="40" spans="1:300" outlineLevel="1">
      <c r="A40" s="7" t="s">
        <v>1</v>
      </c>
      <c r="B40" s="7" t="s">
        <v>67</v>
      </c>
      <c r="C40" s="7" t="s">
        <v>1</v>
      </c>
      <c r="D40" s="7" t="s">
        <v>1</v>
      </c>
      <c r="E40" s="6">
        <v>175200</v>
      </c>
      <c r="F40" s="6" t="s">
        <v>1</v>
      </c>
      <c r="G40" s="6" t="s">
        <v>40</v>
      </c>
      <c r="H40" s="8">
        <v>32</v>
      </c>
      <c r="I40" s="7" t="s">
        <v>77</v>
      </c>
      <c r="J40" s="7" t="s">
        <v>40</v>
      </c>
      <c r="K40" s="6" t="s">
        <v>1</v>
      </c>
    </row>
    <row r="41" spans="1:300" outlineLevel="1">
      <c r="A41" s="7" t="s">
        <v>1</v>
      </c>
      <c r="B41" s="7" t="s">
        <v>78</v>
      </c>
      <c r="C41" s="7" t="s">
        <v>1</v>
      </c>
      <c r="D41" s="7" t="s">
        <v>1</v>
      </c>
      <c r="E41" s="6">
        <v>10376</v>
      </c>
      <c r="F41" s="6" t="s">
        <v>1</v>
      </c>
      <c r="G41" s="6" t="s">
        <v>40</v>
      </c>
      <c r="H41" s="8">
        <v>32</v>
      </c>
      <c r="I41" s="7" t="s">
        <v>77</v>
      </c>
      <c r="J41" s="7" t="s">
        <v>77</v>
      </c>
      <c r="K41" s="6" t="s">
        <v>1</v>
      </c>
    </row>
    <row r="42" spans="1:300" outlineLevel="1">
      <c r="A42" s="7" t="s">
        <v>1</v>
      </c>
      <c r="B42" s="7" t="s">
        <v>79</v>
      </c>
      <c r="C42" s="7" t="s">
        <v>1</v>
      </c>
      <c r="D42" s="7" t="s">
        <v>1</v>
      </c>
      <c r="E42" s="6">
        <v>2</v>
      </c>
      <c r="F42" s="6" t="s">
        <v>1</v>
      </c>
      <c r="G42" s="6" t="s">
        <v>40</v>
      </c>
      <c r="H42" s="8">
        <v>117</v>
      </c>
      <c r="I42" s="7" t="s">
        <v>80</v>
      </c>
      <c r="J42" s="7" t="s">
        <v>77</v>
      </c>
      <c r="K42" s="6" t="s">
        <v>1</v>
      </c>
    </row>
    <row r="43" spans="1:300">
      <c r="A43" s="4" t="s">
        <v>58</v>
      </c>
      <c r="B43" s="4" t="s">
        <v>59</v>
      </c>
      <c r="C43" s="4" t="s">
        <v>59</v>
      </c>
      <c r="D43" s="4" t="s">
        <v>84</v>
      </c>
      <c r="E43" s="3">
        <v>162500</v>
      </c>
      <c r="F43" s="3">
        <v>-2.16702407132852</v>
      </c>
      <c r="G43" s="3">
        <v>158313</v>
      </c>
      <c r="H43" s="5">
        <v>36</v>
      </c>
      <c r="I43" s="4" t="s">
        <v>61</v>
      </c>
      <c r="J43" s="4" t="s">
        <v>40</v>
      </c>
      <c r="K43" s="3">
        <v>11.280371924798899</v>
      </c>
    </row>
    <row r="44" spans="1:300">
      <c r="A44" s="13" t="s">
        <v>1</v>
      </c>
      <c r="B44" s="13" t="s">
        <v>14</v>
      </c>
      <c r="C44" s="13" t="s">
        <v>1</v>
      </c>
      <c r="D44" s="13" t="s">
        <v>1</v>
      </c>
      <c r="E44" s="12">
        <v>164543.57863</v>
      </c>
      <c r="F44" s="12">
        <v>-0.93700000000000006</v>
      </c>
      <c r="G44" s="12" t="s">
        <v>40</v>
      </c>
      <c r="H44" s="12" t="s">
        <v>1</v>
      </c>
      <c r="I44" s="13" t="s">
        <v>1</v>
      </c>
      <c r="J44" s="13" t="s">
        <v>1</v>
      </c>
      <c r="K44" s="12" t="s">
        <v>1</v>
      </c>
    </row>
    <row r="45" spans="1:300">
      <c r="A45" s="11" t="s">
        <v>1</v>
      </c>
      <c r="B45" s="11" t="s">
        <v>15</v>
      </c>
      <c r="C45" s="11" t="s">
        <v>1</v>
      </c>
      <c r="D45" s="11" t="s">
        <v>1</v>
      </c>
      <c r="E45" s="10">
        <v>166099.41428999999</v>
      </c>
      <c r="F45" s="10" t="s">
        <v>1</v>
      </c>
      <c r="G45" s="10" t="s">
        <v>40</v>
      </c>
      <c r="H45" s="10" t="s">
        <v>1</v>
      </c>
      <c r="I45" s="11" t="s">
        <v>1</v>
      </c>
      <c r="J45" s="11" t="s">
        <v>1</v>
      </c>
      <c r="K45" s="10" t="s">
        <v>1</v>
      </c>
    </row>
    <row r="46" spans="1:300">
      <c r="A46" s="339" t="s">
        <v>1</v>
      </c>
      <c r="B46" s="339"/>
      <c r="C46" s="339"/>
      <c r="D46" s="339"/>
      <c r="E46" s="339"/>
      <c r="F46" s="339"/>
      <c r="G46" s="339"/>
      <c r="H46" s="339"/>
      <c r="I46" s="339"/>
      <c r="J46" s="339"/>
      <c r="K46" s="339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339"/>
      <c r="Z46" s="339"/>
      <c r="AA46" s="339"/>
      <c r="AB46" s="339"/>
      <c r="AC46" s="339"/>
      <c r="AD46" s="339"/>
      <c r="AE46" s="339"/>
      <c r="AF46" s="339"/>
      <c r="AG46" s="339"/>
      <c r="AH46" s="339"/>
      <c r="AI46" s="339"/>
      <c r="AJ46" s="339"/>
      <c r="AK46" s="339"/>
      <c r="AL46" s="339"/>
      <c r="AM46" s="339"/>
      <c r="AN46" s="339"/>
      <c r="AO46" s="339"/>
      <c r="AP46" s="339"/>
      <c r="AQ46" s="339"/>
      <c r="AR46" s="339"/>
      <c r="AS46" s="339"/>
      <c r="AT46" s="339"/>
      <c r="AU46" s="339"/>
      <c r="AV46" s="339"/>
      <c r="AW46" s="339"/>
      <c r="AX46" s="339"/>
      <c r="AY46" s="339"/>
      <c r="AZ46" s="339"/>
      <c r="BA46" s="339"/>
      <c r="BB46" s="339"/>
      <c r="BC46" s="339"/>
      <c r="BD46" s="339"/>
      <c r="BE46" s="339"/>
      <c r="BF46" s="339"/>
      <c r="BG46" s="339"/>
      <c r="BH46" s="339"/>
      <c r="BI46" s="339"/>
      <c r="BJ46" s="339"/>
      <c r="BK46" s="339"/>
      <c r="BL46" s="339"/>
      <c r="BM46" s="339"/>
      <c r="BN46" s="339"/>
      <c r="BO46" s="339"/>
      <c r="BP46" s="339"/>
      <c r="BQ46" s="339"/>
      <c r="BR46" s="339"/>
      <c r="BS46" s="339"/>
      <c r="BT46" s="339"/>
      <c r="BU46" s="339"/>
      <c r="BV46" s="339"/>
      <c r="BW46" s="339"/>
      <c r="BX46" s="339"/>
      <c r="BY46" s="339"/>
      <c r="BZ46" s="339"/>
      <c r="CA46" s="339"/>
      <c r="CB46" s="339"/>
      <c r="CC46" s="339"/>
      <c r="CD46" s="339"/>
      <c r="CE46" s="339"/>
      <c r="CF46" s="339"/>
      <c r="CG46" s="339"/>
      <c r="CH46" s="339"/>
      <c r="CI46" s="339"/>
      <c r="CJ46" s="339"/>
      <c r="CK46" s="339"/>
      <c r="CL46" s="339"/>
      <c r="CM46" s="339"/>
      <c r="CN46" s="339"/>
      <c r="CO46" s="339"/>
      <c r="CP46" s="339"/>
      <c r="CQ46" s="339"/>
      <c r="CR46" s="339"/>
      <c r="CS46" s="339"/>
      <c r="CT46" s="339"/>
      <c r="CU46" s="339"/>
      <c r="CV46" s="339"/>
      <c r="CW46" s="339"/>
      <c r="CX46" s="339"/>
      <c r="CY46" s="339"/>
      <c r="CZ46" s="339"/>
      <c r="DA46" s="339"/>
      <c r="DB46" s="339"/>
      <c r="DC46" s="339"/>
      <c r="DD46" s="339"/>
      <c r="DE46" s="339"/>
      <c r="DF46" s="339"/>
      <c r="DG46" s="339"/>
      <c r="DH46" s="339"/>
      <c r="DI46" s="339"/>
      <c r="DJ46" s="339"/>
      <c r="DK46" s="339"/>
      <c r="DL46" s="339"/>
      <c r="DM46" s="339"/>
      <c r="DN46" s="339"/>
      <c r="DO46" s="339"/>
      <c r="DP46" s="339"/>
      <c r="DQ46" s="339"/>
      <c r="DR46" s="339"/>
      <c r="DS46" s="339"/>
      <c r="DT46" s="339"/>
      <c r="DU46" s="339"/>
      <c r="DV46" s="339"/>
      <c r="DW46" s="339"/>
      <c r="DX46" s="339"/>
      <c r="DY46" s="339"/>
      <c r="DZ46" s="339"/>
      <c r="EA46" s="339"/>
      <c r="EB46" s="339"/>
      <c r="EC46" s="339"/>
      <c r="ED46" s="339"/>
      <c r="EE46" s="339"/>
      <c r="EF46" s="339"/>
      <c r="EG46" s="339"/>
      <c r="EH46" s="339"/>
      <c r="EI46" s="339"/>
      <c r="EJ46" s="339"/>
      <c r="EK46" s="339"/>
      <c r="EL46" s="339"/>
      <c r="EM46" s="339"/>
      <c r="EN46" s="339"/>
      <c r="EO46" s="339"/>
      <c r="EP46" s="339"/>
      <c r="EQ46" s="339"/>
      <c r="ER46" s="339"/>
      <c r="ES46" s="339"/>
      <c r="ET46" s="339"/>
      <c r="EU46" s="339"/>
      <c r="EV46" s="339"/>
      <c r="EW46" s="339"/>
      <c r="EX46" s="339"/>
      <c r="EY46" s="339"/>
      <c r="EZ46" s="339"/>
      <c r="FA46" s="339"/>
      <c r="FB46" s="339"/>
      <c r="FC46" s="339"/>
      <c r="FD46" s="339"/>
      <c r="FE46" s="339"/>
      <c r="FF46" s="339"/>
      <c r="FG46" s="339"/>
      <c r="FH46" s="339"/>
      <c r="FI46" s="339"/>
      <c r="FJ46" s="339"/>
      <c r="FK46" s="339"/>
      <c r="FL46" s="339"/>
      <c r="FM46" s="339"/>
      <c r="FN46" s="339"/>
      <c r="FO46" s="339"/>
      <c r="FP46" s="339"/>
      <c r="FQ46" s="339"/>
      <c r="FR46" s="339"/>
      <c r="FS46" s="339"/>
      <c r="FT46" s="339"/>
      <c r="FU46" s="339"/>
      <c r="FV46" s="339"/>
      <c r="FW46" s="339"/>
      <c r="FX46" s="339"/>
      <c r="FY46" s="339"/>
      <c r="FZ46" s="339"/>
      <c r="GA46" s="339"/>
      <c r="GB46" s="339"/>
      <c r="GC46" s="339"/>
      <c r="GD46" s="339"/>
      <c r="GE46" s="339"/>
      <c r="GF46" s="339"/>
      <c r="GG46" s="339"/>
      <c r="GH46" s="339"/>
      <c r="GI46" s="339"/>
      <c r="GJ46" s="339"/>
      <c r="GK46" s="339"/>
      <c r="GL46" s="339"/>
      <c r="GM46" s="339"/>
      <c r="GN46" s="339"/>
      <c r="GO46" s="339"/>
      <c r="GP46" s="339"/>
      <c r="GQ46" s="339"/>
      <c r="GR46" s="339"/>
      <c r="GS46" s="339"/>
      <c r="GT46" s="339"/>
      <c r="GU46" s="339"/>
      <c r="GV46" s="339"/>
      <c r="GW46" s="339"/>
      <c r="GX46" s="339"/>
      <c r="GY46" s="339"/>
      <c r="GZ46" s="339"/>
      <c r="HA46" s="339"/>
      <c r="HB46" s="339"/>
      <c r="HC46" s="339"/>
      <c r="HD46" s="339"/>
      <c r="HE46" s="339"/>
      <c r="HF46" s="339"/>
      <c r="HG46" s="339"/>
      <c r="HH46" s="339"/>
      <c r="HI46" s="339"/>
      <c r="HJ46" s="339"/>
      <c r="HK46" s="339"/>
      <c r="HL46" s="339"/>
      <c r="HM46" s="339"/>
      <c r="HN46" s="339"/>
      <c r="HO46" s="339"/>
      <c r="HP46" s="339"/>
      <c r="HQ46" s="339"/>
      <c r="HR46" s="339"/>
      <c r="HS46" s="339"/>
      <c r="HT46" s="339"/>
      <c r="HU46" s="339"/>
      <c r="HV46" s="339"/>
      <c r="HW46" s="339"/>
      <c r="HX46" s="339"/>
      <c r="HY46" s="339"/>
      <c r="HZ46" s="339"/>
      <c r="IA46" s="339"/>
      <c r="IB46" s="339"/>
      <c r="IC46" s="339"/>
      <c r="ID46" s="339"/>
      <c r="IE46" s="339"/>
      <c r="IF46" s="339"/>
      <c r="IG46" s="339"/>
      <c r="IH46" s="339"/>
      <c r="II46" s="339"/>
      <c r="IJ46" s="339"/>
      <c r="IK46" s="339"/>
      <c r="IL46" s="339"/>
      <c r="IM46" s="339"/>
      <c r="IN46" s="339"/>
      <c r="IO46" s="339"/>
      <c r="IP46" s="339"/>
      <c r="IQ46" s="339"/>
      <c r="IR46" s="339"/>
      <c r="IS46" s="339"/>
      <c r="IT46" s="339"/>
      <c r="IU46" s="339"/>
      <c r="IV46" s="339"/>
      <c r="IW46" s="339"/>
      <c r="IX46" s="339"/>
      <c r="IY46" s="339"/>
      <c r="IZ46" s="339"/>
      <c r="JA46" s="339"/>
      <c r="JB46" s="339"/>
      <c r="JC46" s="339"/>
      <c r="JD46" s="339"/>
      <c r="JE46" s="339"/>
      <c r="JF46" s="339"/>
      <c r="JG46" s="339"/>
      <c r="JH46" s="339"/>
      <c r="JI46" s="339"/>
      <c r="JJ46" s="339"/>
      <c r="JK46" s="339"/>
      <c r="JL46" s="339"/>
      <c r="JM46" s="339"/>
      <c r="JN46" s="339"/>
      <c r="JO46" s="339"/>
      <c r="JP46" s="339"/>
      <c r="JQ46" s="339"/>
      <c r="JR46" s="339"/>
      <c r="JS46" s="339"/>
      <c r="JT46" s="339"/>
      <c r="JU46" s="339"/>
      <c r="JV46" s="339"/>
      <c r="JW46" s="339"/>
      <c r="JX46" s="339"/>
      <c r="JY46" s="339"/>
      <c r="JZ46" s="339"/>
      <c r="KA46" s="339"/>
      <c r="KB46" s="339"/>
      <c r="KC46" s="339"/>
      <c r="KD46" s="339"/>
      <c r="KE46" s="339"/>
      <c r="KF46" s="339"/>
      <c r="KG46" s="339"/>
      <c r="KH46" s="339"/>
      <c r="KI46" s="339"/>
      <c r="KJ46" s="339"/>
      <c r="KK46" s="339"/>
      <c r="KL46" s="339"/>
      <c r="KM46" s="339"/>
      <c r="KN46" s="339"/>
    </row>
    <row r="47" spans="1:300">
      <c r="A47" s="401" t="s">
        <v>86</v>
      </c>
      <c r="B47" s="401"/>
      <c r="C47" s="401"/>
      <c r="D47" s="401"/>
      <c r="E47" s="401"/>
      <c r="F47" s="401"/>
      <c r="G47" s="401"/>
      <c r="H47" s="401"/>
      <c r="I47" s="401"/>
      <c r="J47" s="401"/>
      <c r="K47" s="401"/>
    </row>
    <row r="48" spans="1:300">
      <c r="A48" s="9" t="s">
        <v>1</v>
      </c>
      <c r="B48" s="9" t="s">
        <v>48</v>
      </c>
      <c r="C48" s="9" t="s">
        <v>49</v>
      </c>
      <c r="D48" s="9" t="s">
        <v>50</v>
      </c>
      <c r="E48" s="9" t="s">
        <v>51</v>
      </c>
      <c r="F48" s="9" t="s">
        <v>52</v>
      </c>
      <c r="G48" s="9" t="s">
        <v>53</v>
      </c>
      <c r="H48" s="9" t="s">
        <v>54</v>
      </c>
      <c r="I48" s="9" t="s">
        <v>55</v>
      </c>
      <c r="J48" s="9" t="s">
        <v>56</v>
      </c>
      <c r="K48" s="9" t="s">
        <v>57</v>
      </c>
    </row>
    <row r="49" spans="1:300">
      <c r="A49" s="4" t="s">
        <v>87</v>
      </c>
      <c r="B49" s="4" t="s">
        <v>88</v>
      </c>
      <c r="C49" s="4" t="s">
        <v>89</v>
      </c>
      <c r="D49" s="4" t="s">
        <v>90</v>
      </c>
      <c r="E49" s="3">
        <v>178471</v>
      </c>
      <c r="F49" s="3">
        <v>7.4483018274826298</v>
      </c>
      <c r="G49" s="3">
        <v>175740</v>
      </c>
      <c r="H49" s="5">
        <v>34</v>
      </c>
      <c r="I49" s="4" t="s">
        <v>91</v>
      </c>
      <c r="J49" s="4" t="s">
        <v>92</v>
      </c>
      <c r="K49" s="3" t="s">
        <v>40</v>
      </c>
    </row>
    <row r="50" spans="1:300" outlineLevel="1">
      <c r="A50" s="7" t="s">
        <v>1</v>
      </c>
      <c r="B50" s="7" t="s">
        <v>67</v>
      </c>
      <c r="C50" s="7" t="s">
        <v>1</v>
      </c>
      <c r="D50" s="7" t="s">
        <v>1</v>
      </c>
      <c r="E50" s="6">
        <v>168765</v>
      </c>
      <c r="F50" s="6" t="s">
        <v>1</v>
      </c>
      <c r="G50" s="6" t="s">
        <v>40</v>
      </c>
      <c r="H50" s="8">
        <v>34</v>
      </c>
      <c r="I50" s="7" t="s">
        <v>91</v>
      </c>
      <c r="J50" s="7" t="s">
        <v>40</v>
      </c>
      <c r="K50" s="6" t="s">
        <v>1</v>
      </c>
    </row>
    <row r="51" spans="1:300" outlineLevel="1">
      <c r="A51" s="7" t="s">
        <v>1</v>
      </c>
      <c r="B51" s="7" t="s">
        <v>78</v>
      </c>
      <c r="C51" s="7" t="s">
        <v>1</v>
      </c>
      <c r="D51" s="7" t="s">
        <v>1</v>
      </c>
      <c r="E51" s="6">
        <v>9692</v>
      </c>
      <c r="F51" s="6" t="s">
        <v>1</v>
      </c>
      <c r="G51" s="6" t="s">
        <v>40</v>
      </c>
      <c r="H51" s="8">
        <v>34</v>
      </c>
      <c r="I51" s="7" t="s">
        <v>91</v>
      </c>
      <c r="J51" s="7" t="s">
        <v>40</v>
      </c>
      <c r="K51" s="6" t="s">
        <v>1</v>
      </c>
    </row>
    <row r="52" spans="1:300" outlineLevel="1">
      <c r="A52" s="7" t="s">
        <v>1</v>
      </c>
      <c r="B52" s="7" t="s">
        <v>79</v>
      </c>
      <c r="C52" s="7" t="s">
        <v>1</v>
      </c>
      <c r="D52" s="7" t="s">
        <v>1</v>
      </c>
      <c r="E52" s="6">
        <v>5</v>
      </c>
      <c r="F52" s="6" t="s">
        <v>1</v>
      </c>
      <c r="G52" s="6" t="s">
        <v>40</v>
      </c>
      <c r="H52" s="8">
        <v>34</v>
      </c>
      <c r="I52" s="7" t="s">
        <v>91</v>
      </c>
      <c r="J52" s="7" t="s">
        <v>40</v>
      </c>
      <c r="K52" s="6" t="s">
        <v>1</v>
      </c>
    </row>
    <row r="53" spans="1:300">
      <c r="A53" s="4" t="s">
        <v>87</v>
      </c>
      <c r="B53" s="4" t="s">
        <v>59</v>
      </c>
      <c r="C53" s="4" t="s">
        <v>59</v>
      </c>
      <c r="D53" s="4" t="s">
        <v>90</v>
      </c>
      <c r="E53" s="3">
        <v>191453.524</v>
      </c>
      <c r="F53" s="3">
        <v>15.2644184920082</v>
      </c>
      <c r="G53" s="3">
        <v>197595.51500000001</v>
      </c>
      <c r="H53" s="5">
        <v>36</v>
      </c>
      <c r="I53" s="4" t="s">
        <v>61</v>
      </c>
      <c r="J53" s="4" t="s">
        <v>40</v>
      </c>
      <c r="K53" s="3" t="s">
        <v>40</v>
      </c>
    </row>
    <row r="54" spans="1:300">
      <c r="A54" s="4" t="s">
        <v>87</v>
      </c>
      <c r="B54" s="4" t="s">
        <v>93</v>
      </c>
      <c r="C54" s="4" t="s">
        <v>94</v>
      </c>
      <c r="D54" s="4" t="s">
        <v>90</v>
      </c>
      <c r="E54" s="3" t="s">
        <v>59</v>
      </c>
      <c r="F54" s="3" t="s">
        <v>1</v>
      </c>
      <c r="G54" s="3" t="s">
        <v>59</v>
      </c>
      <c r="H54" s="5">
        <v>37</v>
      </c>
      <c r="I54" s="4" t="s">
        <v>64</v>
      </c>
      <c r="J54" s="4" t="s">
        <v>40</v>
      </c>
      <c r="K54" s="3" t="s">
        <v>40</v>
      </c>
    </row>
    <row r="55" spans="1:300">
      <c r="A55" s="4" t="s">
        <v>87</v>
      </c>
      <c r="B55" s="4" t="s">
        <v>59</v>
      </c>
      <c r="C55" s="4" t="s">
        <v>59</v>
      </c>
      <c r="D55" s="4" t="s">
        <v>65</v>
      </c>
      <c r="E55" s="3">
        <v>181105</v>
      </c>
      <c r="F55" s="3">
        <v>9.03409911115107</v>
      </c>
      <c r="G55" s="3">
        <v>171820</v>
      </c>
      <c r="H55" s="5">
        <v>124</v>
      </c>
      <c r="I55" s="4" t="s">
        <v>112</v>
      </c>
      <c r="J55" s="4" t="s">
        <v>40</v>
      </c>
      <c r="K55" s="3" t="s">
        <v>40</v>
      </c>
    </row>
    <row r="56" spans="1:300" outlineLevel="1">
      <c r="A56" s="7" t="s">
        <v>1</v>
      </c>
      <c r="B56" s="7" t="s">
        <v>67</v>
      </c>
      <c r="C56" s="7" t="s">
        <v>1</v>
      </c>
      <c r="D56" s="7" t="s">
        <v>1</v>
      </c>
      <c r="E56" s="6">
        <v>171820</v>
      </c>
      <c r="F56" s="6" t="s">
        <v>1</v>
      </c>
      <c r="G56" s="6" t="s">
        <v>40</v>
      </c>
      <c r="H56" s="8">
        <v>186</v>
      </c>
      <c r="I56" s="7" t="s">
        <v>96</v>
      </c>
      <c r="J56" s="7" t="s">
        <v>40</v>
      </c>
      <c r="K56" s="6" t="s">
        <v>1</v>
      </c>
    </row>
    <row r="57" spans="1:300" outlineLevel="1">
      <c r="A57" s="7" t="s">
        <v>1</v>
      </c>
      <c r="B57" s="7" t="s">
        <v>78</v>
      </c>
      <c r="C57" s="7" t="s">
        <v>1</v>
      </c>
      <c r="D57" s="7" t="s">
        <v>1</v>
      </c>
      <c r="E57" s="6">
        <v>11076</v>
      </c>
      <c r="F57" s="6" t="s">
        <v>1</v>
      </c>
      <c r="G57" s="6" t="s">
        <v>40</v>
      </c>
      <c r="H57" s="8">
        <v>187</v>
      </c>
      <c r="I57" s="7" t="s">
        <v>97</v>
      </c>
      <c r="J57" s="7" t="s">
        <v>40</v>
      </c>
      <c r="K57" s="6" t="s">
        <v>1</v>
      </c>
    </row>
    <row r="58" spans="1:300">
      <c r="A58" s="4" t="s">
        <v>87</v>
      </c>
      <c r="B58" s="4" t="s">
        <v>59</v>
      </c>
      <c r="C58" s="4" t="s">
        <v>59</v>
      </c>
      <c r="D58" s="4" t="s">
        <v>71</v>
      </c>
      <c r="E58" s="3">
        <v>183085.8</v>
      </c>
      <c r="F58" s="3">
        <v>10.226637934040401</v>
      </c>
      <c r="G58" s="3">
        <v>183306.3</v>
      </c>
      <c r="H58" s="5">
        <v>53</v>
      </c>
      <c r="I58" s="4" t="s">
        <v>98</v>
      </c>
      <c r="J58" s="4" t="s">
        <v>40</v>
      </c>
      <c r="K58" s="3" t="s">
        <v>40</v>
      </c>
    </row>
    <row r="59" spans="1:300">
      <c r="A59" s="4" t="s">
        <v>87</v>
      </c>
      <c r="B59" s="4" t="s">
        <v>59</v>
      </c>
      <c r="C59" s="4" t="s">
        <v>59</v>
      </c>
      <c r="D59" s="4" t="s">
        <v>71</v>
      </c>
      <c r="E59" s="3">
        <v>175080.70199999999</v>
      </c>
      <c r="F59" s="3">
        <v>5.40717602671325</v>
      </c>
      <c r="G59" s="3">
        <v>159096.516</v>
      </c>
      <c r="H59" s="5">
        <v>33</v>
      </c>
      <c r="I59" s="4" t="s">
        <v>73</v>
      </c>
      <c r="J59" s="4" t="s">
        <v>81</v>
      </c>
      <c r="K59" s="3" t="s">
        <v>40</v>
      </c>
    </row>
    <row r="60" spans="1:300">
      <c r="A60" s="4" t="s">
        <v>87</v>
      </c>
      <c r="B60" s="4" t="s">
        <v>99</v>
      </c>
      <c r="C60" s="4" t="s">
        <v>100</v>
      </c>
      <c r="D60" s="4" t="s">
        <v>84</v>
      </c>
      <c r="E60" s="3">
        <v>185579</v>
      </c>
      <c r="F60" s="3">
        <v>11.7276667068734</v>
      </c>
      <c r="G60" s="3">
        <v>179069</v>
      </c>
      <c r="H60" s="5">
        <v>32</v>
      </c>
      <c r="I60" s="4" t="s">
        <v>77</v>
      </c>
      <c r="J60" s="4" t="s">
        <v>101</v>
      </c>
      <c r="K60" s="3" t="s">
        <v>40</v>
      </c>
    </row>
    <row r="61" spans="1:300">
      <c r="A61" s="4" t="s">
        <v>87</v>
      </c>
      <c r="B61" s="4" t="s">
        <v>102</v>
      </c>
      <c r="C61" s="4" t="s">
        <v>103</v>
      </c>
      <c r="D61" s="4" t="s">
        <v>104</v>
      </c>
      <c r="E61" s="3">
        <v>168549.52</v>
      </c>
      <c r="F61" s="3">
        <v>1.4750838950715699</v>
      </c>
      <c r="G61" s="3" t="s">
        <v>40</v>
      </c>
      <c r="H61" s="5">
        <v>227</v>
      </c>
      <c r="I61" s="4" t="s">
        <v>105</v>
      </c>
      <c r="J61" s="4" t="s">
        <v>106</v>
      </c>
      <c r="K61" s="3" t="s">
        <v>40</v>
      </c>
    </row>
    <row r="62" spans="1:300">
      <c r="A62" s="339" t="s">
        <v>1</v>
      </c>
      <c r="B62" s="339"/>
      <c r="C62" s="339"/>
      <c r="D62" s="339"/>
      <c r="E62" s="339"/>
      <c r="F62" s="339"/>
      <c r="G62" s="339"/>
      <c r="H62" s="339"/>
      <c r="I62" s="339"/>
      <c r="J62" s="339"/>
      <c r="K62" s="339"/>
      <c r="L62" s="339"/>
      <c r="M62" s="339"/>
      <c r="N62" s="339"/>
      <c r="O62" s="339"/>
      <c r="P62" s="339"/>
      <c r="Q62" s="339"/>
      <c r="R62" s="339"/>
      <c r="S62" s="339"/>
      <c r="T62" s="339"/>
      <c r="U62" s="339"/>
      <c r="V62" s="339"/>
      <c r="W62" s="339"/>
      <c r="X62" s="339"/>
      <c r="Y62" s="339"/>
      <c r="Z62" s="339"/>
      <c r="AA62" s="339"/>
      <c r="AB62" s="339"/>
      <c r="AC62" s="339"/>
      <c r="AD62" s="339"/>
      <c r="AE62" s="339"/>
      <c r="AF62" s="339"/>
      <c r="AG62" s="339"/>
      <c r="AH62" s="339"/>
      <c r="AI62" s="339"/>
      <c r="AJ62" s="339"/>
      <c r="AK62" s="339"/>
      <c r="AL62" s="339"/>
      <c r="AM62" s="339"/>
      <c r="AN62" s="339"/>
      <c r="AO62" s="339"/>
      <c r="AP62" s="339"/>
      <c r="AQ62" s="339"/>
      <c r="AR62" s="339"/>
      <c r="AS62" s="339"/>
      <c r="AT62" s="339"/>
      <c r="AU62" s="339"/>
      <c r="AV62" s="339"/>
      <c r="AW62" s="339"/>
      <c r="AX62" s="339"/>
      <c r="AY62" s="339"/>
      <c r="AZ62" s="339"/>
      <c r="BA62" s="339"/>
      <c r="BB62" s="339"/>
      <c r="BC62" s="339"/>
      <c r="BD62" s="339"/>
      <c r="BE62" s="339"/>
      <c r="BF62" s="339"/>
      <c r="BG62" s="339"/>
      <c r="BH62" s="339"/>
      <c r="BI62" s="339"/>
      <c r="BJ62" s="339"/>
      <c r="BK62" s="339"/>
      <c r="BL62" s="339"/>
      <c r="BM62" s="339"/>
      <c r="BN62" s="339"/>
      <c r="BO62" s="339"/>
      <c r="BP62" s="339"/>
      <c r="BQ62" s="339"/>
      <c r="BR62" s="339"/>
      <c r="BS62" s="339"/>
      <c r="BT62" s="339"/>
      <c r="BU62" s="339"/>
      <c r="BV62" s="339"/>
      <c r="BW62" s="339"/>
      <c r="BX62" s="339"/>
      <c r="BY62" s="339"/>
      <c r="BZ62" s="339"/>
      <c r="CA62" s="339"/>
      <c r="CB62" s="339"/>
      <c r="CC62" s="339"/>
      <c r="CD62" s="339"/>
      <c r="CE62" s="339"/>
      <c r="CF62" s="339"/>
      <c r="CG62" s="339"/>
      <c r="CH62" s="339"/>
      <c r="CI62" s="339"/>
      <c r="CJ62" s="339"/>
      <c r="CK62" s="339"/>
      <c r="CL62" s="339"/>
      <c r="CM62" s="339"/>
      <c r="CN62" s="339"/>
      <c r="CO62" s="339"/>
      <c r="CP62" s="339"/>
      <c r="CQ62" s="339"/>
      <c r="CR62" s="339"/>
      <c r="CS62" s="339"/>
      <c r="CT62" s="339"/>
      <c r="CU62" s="339"/>
      <c r="CV62" s="339"/>
      <c r="CW62" s="339"/>
      <c r="CX62" s="339"/>
      <c r="CY62" s="339"/>
      <c r="CZ62" s="339"/>
      <c r="DA62" s="339"/>
      <c r="DB62" s="339"/>
      <c r="DC62" s="339"/>
      <c r="DD62" s="339"/>
      <c r="DE62" s="339"/>
      <c r="DF62" s="339"/>
      <c r="DG62" s="339"/>
      <c r="DH62" s="339"/>
      <c r="DI62" s="339"/>
      <c r="DJ62" s="339"/>
      <c r="DK62" s="339"/>
      <c r="DL62" s="339"/>
      <c r="DM62" s="339"/>
      <c r="DN62" s="339"/>
      <c r="DO62" s="339"/>
      <c r="DP62" s="339"/>
      <c r="DQ62" s="339"/>
      <c r="DR62" s="339"/>
      <c r="DS62" s="339"/>
      <c r="DT62" s="339"/>
      <c r="DU62" s="339"/>
      <c r="DV62" s="339"/>
      <c r="DW62" s="339"/>
      <c r="DX62" s="339"/>
      <c r="DY62" s="339"/>
      <c r="DZ62" s="339"/>
      <c r="EA62" s="339"/>
      <c r="EB62" s="339"/>
      <c r="EC62" s="339"/>
      <c r="ED62" s="339"/>
      <c r="EE62" s="339"/>
      <c r="EF62" s="339"/>
      <c r="EG62" s="339"/>
      <c r="EH62" s="339"/>
      <c r="EI62" s="339"/>
      <c r="EJ62" s="339"/>
      <c r="EK62" s="339"/>
      <c r="EL62" s="339"/>
      <c r="EM62" s="339"/>
      <c r="EN62" s="339"/>
      <c r="EO62" s="339"/>
      <c r="EP62" s="339"/>
      <c r="EQ62" s="339"/>
      <c r="ER62" s="339"/>
      <c r="ES62" s="339"/>
      <c r="ET62" s="339"/>
      <c r="EU62" s="339"/>
      <c r="EV62" s="339"/>
      <c r="EW62" s="339"/>
      <c r="EX62" s="339"/>
      <c r="EY62" s="339"/>
      <c r="EZ62" s="339"/>
      <c r="FA62" s="339"/>
      <c r="FB62" s="339"/>
      <c r="FC62" s="339"/>
      <c r="FD62" s="339"/>
      <c r="FE62" s="339"/>
      <c r="FF62" s="339"/>
      <c r="FG62" s="339"/>
      <c r="FH62" s="339"/>
      <c r="FI62" s="339"/>
      <c r="FJ62" s="339"/>
      <c r="FK62" s="339"/>
      <c r="FL62" s="339"/>
      <c r="FM62" s="339"/>
      <c r="FN62" s="339"/>
      <c r="FO62" s="339"/>
      <c r="FP62" s="339"/>
      <c r="FQ62" s="339"/>
      <c r="FR62" s="339"/>
      <c r="FS62" s="339"/>
      <c r="FT62" s="339"/>
      <c r="FU62" s="339"/>
      <c r="FV62" s="339"/>
      <c r="FW62" s="339"/>
      <c r="FX62" s="339"/>
      <c r="FY62" s="339"/>
      <c r="FZ62" s="339"/>
      <c r="GA62" s="339"/>
      <c r="GB62" s="339"/>
      <c r="GC62" s="339"/>
      <c r="GD62" s="339"/>
      <c r="GE62" s="339"/>
      <c r="GF62" s="339"/>
      <c r="GG62" s="339"/>
      <c r="GH62" s="339"/>
      <c r="GI62" s="339"/>
      <c r="GJ62" s="339"/>
      <c r="GK62" s="339"/>
      <c r="GL62" s="339"/>
      <c r="GM62" s="339"/>
      <c r="GN62" s="339"/>
      <c r="GO62" s="339"/>
      <c r="GP62" s="339"/>
      <c r="GQ62" s="339"/>
      <c r="GR62" s="339"/>
      <c r="GS62" s="339"/>
      <c r="GT62" s="339"/>
      <c r="GU62" s="339"/>
      <c r="GV62" s="339"/>
      <c r="GW62" s="339"/>
      <c r="GX62" s="339"/>
      <c r="GY62" s="339"/>
      <c r="GZ62" s="339"/>
      <c r="HA62" s="339"/>
      <c r="HB62" s="339"/>
      <c r="HC62" s="339"/>
      <c r="HD62" s="339"/>
      <c r="HE62" s="339"/>
      <c r="HF62" s="339"/>
      <c r="HG62" s="339"/>
      <c r="HH62" s="339"/>
      <c r="HI62" s="339"/>
      <c r="HJ62" s="339"/>
      <c r="HK62" s="339"/>
      <c r="HL62" s="339"/>
      <c r="HM62" s="339"/>
      <c r="HN62" s="339"/>
      <c r="HO62" s="339"/>
      <c r="HP62" s="339"/>
      <c r="HQ62" s="339"/>
      <c r="HR62" s="339"/>
      <c r="HS62" s="339"/>
      <c r="HT62" s="339"/>
      <c r="HU62" s="339"/>
      <c r="HV62" s="339"/>
      <c r="HW62" s="339"/>
      <c r="HX62" s="339"/>
      <c r="HY62" s="339"/>
      <c r="HZ62" s="339"/>
      <c r="IA62" s="339"/>
      <c r="IB62" s="339"/>
      <c r="IC62" s="339"/>
      <c r="ID62" s="339"/>
      <c r="IE62" s="339"/>
      <c r="IF62" s="339"/>
      <c r="IG62" s="339"/>
      <c r="IH62" s="339"/>
      <c r="II62" s="339"/>
      <c r="IJ62" s="339"/>
      <c r="IK62" s="339"/>
      <c r="IL62" s="339"/>
      <c r="IM62" s="339"/>
      <c r="IN62" s="339"/>
      <c r="IO62" s="339"/>
      <c r="IP62" s="339"/>
      <c r="IQ62" s="339"/>
      <c r="IR62" s="339"/>
      <c r="IS62" s="339"/>
      <c r="IT62" s="339"/>
      <c r="IU62" s="339"/>
      <c r="IV62" s="339"/>
      <c r="IW62" s="339"/>
      <c r="IX62" s="339"/>
      <c r="IY62" s="339"/>
      <c r="IZ62" s="339"/>
      <c r="JA62" s="339"/>
      <c r="JB62" s="339"/>
      <c r="JC62" s="339"/>
      <c r="JD62" s="339"/>
      <c r="JE62" s="339"/>
      <c r="JF62" s="339"/>
      <c r="JG62" s="339"/>
      <c r="JH62" s="339"/>
      <c r="JI62" s="339"/>
      <c r="JJ62" s="339"/>
      <c r="JK62" s="339"/>
      <c r="JL62" s="339"/>
      <c r="JM62" s="339"/>
      <c r="JN62" s="339"/>
      <c r="JO62" s="339"/>
      <c r="JP62" s="339"/>
      <c r="JQ62" s="339"/>
      <c r="JR62" s="339"/>
      <c r="JS62" s="339"/>
      <c r="JT62" s="339"/>
      <c r="JU62" s="339"/>
      <c r="JV62" s="339"/>
      <c r="JW62" s="339"/>
      <c r="JX62" s="339"/>
      <c r="JY62" s="339"/>
      <c r="JZ62" s="339"/>
      <c r="KA62" s="339"/>
      <c r="KB62" s="339"/>
      <c r="KC62" s="339"/>
      <c r="KD62" s="339"/>
      <c r="KE62" s="339"/>
      <c r="KF62" s="339"/>
      <c r="KG62" s="339"/>
      <c r="KH62" s="339"/>
      <c r="KI62" s="339"/>
      <c r="KJ62" s="339"/>
      <c r="KK62" s="339"/>
      <c r="KL62" s="339"/>
      <c r="KM62" s="339"/>
      <c r="KN62" s="339"/>
    </row>
  </sheetData>
  <mergeCells count="14">
    <mergeCell ref="A30:K30"/>
    <mergeCell ref="A46:KN46"/>
    <mergeCell ref="A47:K47"/>
    <mergeCell ref="A62:KN62"/>
    <mergeCell ref="B18:C18"/>
    <mergeCell ref="A22:KN22"/>
    <mergeCell ref="B23:E23"/>
    <mergeCell ref="A28:KN28"/>
    <mergeCell ref="A29:K29"/>
    <mergeCell ref="C2"/>
    <mergeCell ref="A4:KN4"/>
    <mergeCell ref="A8:KN8"/>
    <mergeCell ref="B9:C9"/>
    <mergeCell ref="A17:K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22BF-866F-4B93-8568-CD93C5EEA32C}">
  <sheetPr>
    <outlinePr summaryBelow="0"/>
  </sheetPr>
  <dimension ref="A1:KN50"/>
  <sheetViews>
    <sheetView topLeftCell="R1" workbookViewId="0">
      <selection activeCell="X12" sqref="X12"/>
    </sheetView>
  </sheetViews>
  <sheetFormatPr defaultRowHeight="15"/>
  <cols>
    <col min="1" max="1" width="2.5703125" bestFit="1" customWidth="1"/>
    <col min="2" max="2" width="50" bestFit="1" customWidth="1"/>
    <col min="3" max="3" width="31.42578125" bestFit="1" customWidth="1"/>
    <col min="4" max="4" width="17.140625" bestFit="1" customWidth="1"/>
    <col min="5" max="22" width="20" bestFit="1" customWidth="1"/>
    <col min="23" max="23" width="1.140625" bestFit="1" customWidth="1"/>
    <col min="24" max="301" width="20" bestFit="1" customWidth="1"/>
  </cols>
  <sheetData>
    <row r="1" spans="1:300">
      <c r="A1" s="1" t="s">
        <v>1</v>
      </c>
      <c r="B1" s="2" t="s">
        <v>119</v>
      </c>
      <c r="C1" s="340" t="s">
        <v>3</v>
      </c>
    </row>
    <row r="2" spans="1:300">
      <c r="A2" s="1" t="s">
        <v>1</v>
      </c>
      <c r="B2" s="2" t="s">
        <v>4</v>
      </c>
      <c r="C2" s="1" t="s">
        <v>5</v>
      </c>
    </row>
    <row r="3" spans="1:300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BZ3" s="339"/>
      <c r="CA3" s="339"/>
      <c r="CB3" s="339"/>
      <c r="CC3" s="339"/>
      <c r="CD3" s="339"/>
      <c r="CE3" s="339"/>
      <c r="CF3" s="339"/>
      <c r="CG3" s="339"/>
      <c r="CH3" s="339"/>
      <c r="CI3" s="339"/>
      <c r="CJ3" s="339"/>
      <c r="CK3" s="339"/>
      <c r="CL3" s="339"/>
      <c r="CM3" s="339"/>
      <c r="CN3" s="339"/>
      <c r="CO3" s="339"/>
      <c r="CP3" s="339"/>
      <c r="CQ3" s="339"/>
      <c r="CR3" s="339"/>
      <c r="CS3" s="339"/>
      <c r="CT3" s="339"/>
      <c r="CU3" s="339"/>
      <c r="CV3" s="339"/>
      <c r="CW3" s="339"/>
      <c r="CX3" s="339"/>
      <c r="CY3" s="339"/>
      <c r="CZ3" s="339"/>
      <c r="DA3" s="339"/>
      <c r="DB3" s="339"/>
      <c r="DC3" s="339"/>
      <c r="DD3" s="339"/>
      <c r="DE3" s="339"/>
      <c r="DF3" s="339"/>
      <c r="DG3" s="339"/>
      <c r="DH3" s="339"/>
      <c r="DI3" s="339"/>
      <c r="DJ3" s="339"/>
      <c r="DK3" s="339"/>
      <c r="DL3" s="339"/>
      <c r="DM3" s="339"/>
      <c r="DN3" s="339"/>
      <c r="DO3" s="339"/>
      <c r="DP3" s="339"/>
      <c r="DQ3" s="339"/>
      <c r="DR3" s="339"/>
      <c r="DS3" s="339"/>
      <c r="DT3" s="339"/>
      <c r="DU3" s="339"/>
      <c r="DV3" s="339"/>
      <c r="DW3" s="339"/>
      <c r="DX3" s="339"/>
      <c r="DY3" s="339"/>
      <c r="DZ3" s="339"/>
      <c r="EA3" s="339"/>
      <c r="EB3" s="339"/>
      <c r="EC3" s="339"/>
      <c r="ED3" s="339"/>
      <c r="EE3" s="339"/>
      <c r="EF3" s="339"/>
      <c r="EG3" s="339"/>
      <c r="EH3" s="339"/>
      <c r="EI3" s="339"/>
      <c r="EJ3" s="339"/>
      <c r="EK3" s="339"/>
      <c r="EL3" s="339"/>
      <c r="EM3" s="339"/>
      <c r="EN3" s="339"/>
      <c r="EO3" s="339"/>
      <c r="EP3" s="339"/>
      <c r="EQ3" s="339"/>
      <c r="ER3" s="339"/>
      <c r="ES3" s="339"/>
      <c r="ET3" s="339"/>
      <c r="EU3" s="339"/>
      <c r="EV3" s="339"/>
      <c r="EW3" s="339"/>
      <c r="EX3" s="339"/>
      <c r="EY3" s="339"/>
      <c r="EZ3" s="339"/>
      <c r="FA3" s="339"/>
      <c r="FB3" s="339"/>
      <c r="FC3" s="339"/>
      <c r="FD3" s="339"/>
      <c r="FE3" s="339"/>
      <c r="FF3" s="339"/>
      <c r="FG3" s="339"/>
      <c r="FH3" s="339"/>
      <c r="FI3" s="339"/>
      <c r="FJ3" s="339"/>
      <c r="FK3" s="339"/>
      <c r="FL3" s="339"/>
      <c r="FM3" s="339"/>
      <c r="FN3" s="339"/>
      <c r="FO3" s="339"/>
      <c r="FP3" s="339"/>
      <c r="FQ3" s="339"/>
      <c r="FR3" s="339"/>
      <c r="FS3" s="339"/>
      <c r="FT3" s="339"/>
      <c r="FU3" s="339"/>
      <c r="FV3" s="339"/>
      <c r="FW3" s="339"/>
      <c r="FX3" s="339"/>
      <c r="FY3" s="339"/>
      <c r="FZ3" s="339"/>
      <c r="GA3" s="339"/>
      <c r="GB3" s="339"/>
      <c r="GC3" s="339"/>
      <c r="GD3" s="339"/>
      <c r="GE3" s="339"/>
      <c r="GF3" s="339"/>
      <c r="GG3" s="339"/>
      <c r="GH3" s="339"/>
      <c r="GI3" s="339"/>
      <c r="GJ3" s="339"/>
      <c r="GK3" s="339"/>
      <c r="GL3" s="339"/>
      <c r="GM3" s="339"/>
      <c r="GN3" s="339"/>
      <c r="GO3" s="339"/>
      <c r="GP3" s="339"/>
      <c r="GQ3" s="339"/>
      <c r="GR3" s="339"/>
      <c r="GS3" s="339"/>
      <c r="GT3" s="339"/>
      <c r="GU3" s="339"/>
      <c r="GV3" s="339"/>
      <c r="GW3" s="339"/>
      <c r="GX3" s="339"/>
      <c r="GY3" s="339"/>
      <c r="GZ3" s="339"/>
      <c r="HA3" s="339"/>
      <c r="HB3" s="339"/>
      <c r="HC3" s="339"/>
      <c r="HD3" s="339"/>
      <c r="HE3" s="339"/>
      <c r="HF3" s="339"/>
      <c r="HG3" s="339"/>
      <c r="HH3" s="339"/>
      <c r="HI3" s="339"/>
      <c r="HJ3" s="339"/>
      <c r="HK3" s="339"/>
      <c r="HL3" s="339"/>
      <c r="HM3" s="339"/>
      <c r="HN3" s="339"/>
      <c r="HO3" s="339"/>
      <c r="HP3" s="339"/>
      <c r="HQ3" s="339"/>
      <c r="HR3" s="339"/>
      <c r="HS3" s="339"/>
      <c r="HT3" s="339"/>
      <c r="HU3" s="339"/>
      <c r="HV3" s="339"/>
      <c r="HW3" s="339"/>
      <c r="HX3" s="339"/>
      <c r="HY3" s="339"/>
      <c r="HZ3" s="339"/>
      <c r="IA3" s="339"/>
      <c r="IB3" s="339"/>
      <c r="IC3" s="339"/>
      <c r="ID3" s="339"/>
      <c r="IE3" s="339"/>
      <c r="IF3" s="339"/>
      <c r="IG3" s="339"/>
      <c r="IH3" s="339"/>
      <c r="II3" s="339"/>
      <c r="IJ3" s="339"/>
      <c r="IK3" s="339"/>
      <c r="IL3" s="339"/>
      <c r="IM3" s="339"/>
      <c r="IN3" s="339"/>
      <c r="IO3" s="339"/>
      <c r="IP3" s="339"/>
      <c r="IQ3" s="339"/>
      <c r="IR3" s="339"/>
      <c r="IS3" s="339"/>
      <c r="IT3" s="339"/>
      <c r="IU3" s="339"/>
      <c r="IV3" s="339"/>
      <c r="IW3" s="339"/>
      <c r="IX3" s="339"/>
      <c r="IY3" s="339"/>
      <c r="IZ3" s="339"/>
      <c r="JA3" s="339"/>
      <c r="JB3" s="339"/>
      <c r="JC3" s="339"/>
      <c r="JD3" s="339"/>
      <c r="JE3" s="339"/>
      <c r="JF3" s="339"/>
      <c r="JG3" s="339"/>
      <c r="JH3" s="339"/>
      <c r="JI3" s="339"/>
      <c r="JJ3" s="339"/>
      <c r="JK3" s="339"/>
      <c r="JL3" s="339"/>
      <c r="JM3" s="339"/>
      <c r="JN3" s="339"/>
      <c r="JO3" s="339"/>
      <c r="JP3" s="339"/>
      <c r="JQ3" s="339"/>
      <c r="JR3" s="339"/>
      <c r="JS3" s="339"/>
      <c r="JT3" s="339"/>
      <c r="JU3" s="339"/>
      <c r="JV3" s="339"/>
      <c r="JW3" s="339"/>
      <c r="JX3" s="339"/>
      <c r="JY3" s="339"/>
      <c r="JZ3" s="339"/>
      <c r="KA3" s="339"/>
      <c r="KB3" s="339"/>
      <c r="KC3" s="339"/>
      <c r="KD3" s="339"/>
      <c r="KE3" s="339"/>
      <c r="KF3" s="339"/>
      <c r="KG3" s="339"/>
      <c r="KH3" s="339"/>
      <c r="KI3" s="339"/>
      <c r="KJ3" s="339"/>
      <c r="KK3" s="339"/>
      <c r="KL3" s="339"/>
      <c r="KM3" s="339"/>
      <c r="KN3" s="339"/>
    </row>
    <row r="4" spans="1:300">
      <c r="A4" s="1" t="s">
        <v>1</v>
      </c>
      <c r="B4" s="2" t="s">
        <v>6</v>
      </c>
      <c r="C4" s="1" t="s">
        <v>7</v>
      </c>
    </row>
    <row r="5" spans="1:300">
      <c r="A5" s="1" t="s">
        <v>1</v>
      </c>
      <c r="B5" s="2" t="s">
        <v>120</v>
      </c>
      <c r="C5" s="1" t="s">
        <v>121</v>
      </c>
    </row>
    <row r="6" spans="1:300">
      <c r="A6" s="1" t="s">
        <v>1</v>
      </c>
      <c r="B6" s="2" t="s">
        <v>10</v>
      </c>
      <c r="C6" s="1" t="s">
        <v>11</v>
      </c>
    </row>
    <row r="7" spans="1:300">
      <c r="A7" s="339" t="s">
        <v>1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339"/>
      <c r="CK7" s="339"/>
      <c r="CL7" s="339"/>
      <c r="CM7" s="339"/>
      <c r="CN7" s="339"/>
      <c r="CO7" s="339"/>
      <c r="CP7" s="339"/>
      <c r="CQ7" s="339"/>
      <c r="CR7" s="339"/>
      <c r="CS7" s="339"/>
      <c r="CT7" s="339"/>
      <c r="CU7" s="339"/>
      <c r="CV7" s="339"/>
      <c r="CW7" s="339"/>
      <c r="CX7" s="339"/>
      <c r="CY7" s="339"/>
      <c r="CZ7" s="339"/>
      <c r="DA7" s="339"/>
      <c r="DB7" s="339"/>
      <c r="DC7" s="339"/>
      <c r="DD7" s="339"/>
      <c r="DE7" s="339"/>
      <c r="DF7" s="339"/>
      <c r="DG7" s="339"/>
      <c r="DH7" s="339"/>
      <c r="DI7" s="339"/>
      <c r="DJ7" s="339"/>
      <c r="DK7" s="339"/>
      <c r="DL7" s="339"/>
      <c r="DM7" s="339"/>
      <c r="DN7" s="339"/>
      <c r="DO7" s="339"/>
      <c r="DP7" s="339"/>
      <c r="DQ7" s="339"/>
      <c r="DR7" s="339"/>
      <c r="DS7" s="339"/>
      <c r="DT7" s="339"/>
      <c r="DU7" s="339"/>
      <c r="DV7" s="339"/>
      <c r="DW7" s="339"/>
      <c r="DX7" s="339"/>
      <c r="DY7" s="339"/>
      <c r="DZ7" s="339"/>
      <c r="EA7" s="339"/>
      <c r="EB7" s="339"/>
      <c r="EC7" s="339"/>
      <c r="ED7" s="339"/>
      <c r="EE7" s="339"/>
      <c r="EF7" s="339"/>
      <c r="EG7" s="339"/>
      <c r="EH7" s="339"/>
      <c r="EI7" s="339"/>
      <c r="EJ7" s="339"/>
      <c r="EK7" s="339"/>
      <c r="EL7" s="339"/>
      <c r="EM7" s="339"/>
      <c r="EN7" s="339"/>
      <c r="EO7" s="339"/>
      <c r="EP7" s="339"/>
      <c r="EQ7" s="339"/>
      <c r="ER7" s="339"/>
      <c r="ES7" s="339"/>
      <c r="ET7" s="339"/>
      <c r="EU7" s="339"/>
      <c r="EV7" s="339"/>
      <c r="EW7" s="339"/>
      <c r="EX7" s="339"/>
      <c r="EY7" s="339"/>
      <c r="EZ7" s="339"/>
      <c r="FA7" s="339"/>
      <c r="FB7" s="339"/>
      <c r="FC7" s="339"/>
      <c r="FD7" s="339"/>
      <c r="FE7" s="339"/>
      <c r="FF7" s="339"/>
      <c r="FG7" s="339"/>
      <c r="FH7" s="339"/>
      <c r="FI7" s="339"/>
      <c r="FJ7" s="339"/>
      <c r="FK7" s="339"/>
      <c r="FL7" s="339"/>
      <c r="FM7" s="339"/>
      <c r="FN7" s="339"/>
      <c r="FO7" s="339"/>
      <c r="FP7" s="339"/>
      <c r="FQ7" s="339"/>
      <c r="FR7" s="339"/>
      <c r="FS7" s="339"/>
      <c r="FT7" s="339"/>
      <c r="FU7" s="339"/>
      <c r="FV7" s="339"/>
      <c r="FW7" s="339"/>
      <c r="FX7" s="339"/>
      <c r="FY7" s="339"/>
      <c r="FZ7" s="339"/>
      <c r="GA7" s="339"/>
      <c r="GB7" s="339"/>
      <c r="GC7" s="339"/>
      <c r="GD7" s="339"/>
      <c r="GE7" s="339"/>
      <c r="GF7" s="339"/>
      <c r="GG7" s="339"/>
      <c r="GH7" s="339"/>
      <c r="GI7" s="339"/>
      <c r="GJ7" s="339"/>
      <c r="GK7" s="339"/>
      <c r="GL7" s="339"/>
      <c r="GM7" s="339"/>
      <c r="GN7" s="339"/>
      <c r="GO7" s="339"/>
      <c r="GP7" s="339"/>
      <c r="GQ7" s="339"/>
      <c r="GR7" s="339"/>
      <c r="GS7" s="339"/>
      <c r="GT7" s="339"/>
      <c r="GU7" s="339"/>
      <c r="GV7" s="339"/>
      <c r="GW7" s="339"/>
      <c r="GX7" s="339"/>
      <c r="GY7" s="339"/>
      <c r="GZ7" s="339"/>
      <c r="HA7" s="339"/>
      <c r="HB7" s="339"/>
      <c r="HC7" s="339"/>
      <c r="HD7" s="339"/>
      <c r="HE7" s="339"/>
      <c r="HF7" s="339"/>
      <c r="HG7" s="339"/>
      <c r="HH7" s="339"/>
      <c r="HI7" s="339"/>
      <c r="HJ7" s="339"/>
      <c r="HK7" s="339"/>
      <c r="HL7" s="339"/>
      <c r="HM7" s="339"/>
      <c r="HN7" s="339"/>
      <c r="HO7" s="339"/>
      <c r="HP7" s="339"/>
      <c r="HQ7" s="339"/>
      <c r="HR7" s="339"/>
      <c r="HS7" s="339"/>
      <c r="HT7" s="339"/>
      <c r="HU7" s="339"/>
      <c r="HV7" s="339"/>
      <c r="HW7" s="339"/>
      <c r="HX7" s="339"/>
      <c r="HY7" s="339"/>
      <c r="HZ7" s="339"/>
      <c r="IA7" s="339"/>
      <c r="IB7" s="339"/>
      <c r="IC7" s="339"/>
      <c r="ID7" s="339"/>
      <c r="IE7" s="339"/>
      <c r="IF7" s="339"/>
      <c r="IG7" s="339"/>
      <c r="IH7" s="339"/>
      <c r="II7" s="339"/>
      <c r="IJ7" s="339"/>
      <c r="IK7" s="339"/>
      <c r="IL7" s="339"/>
      <c r="IM7" s="339"/>
      <c r="IN7" s="339"/>
      <c r="IO7" s="339"/>
      <c r="IP7" s="339"/>
      <c r="IQ7" s="339"/>
      <c r="IR7" s="339"/>
      <c r="IS7" s="339"/>
      <c r="IT7" s="339"/>
      <c r="IU7" s="339"/>
      <c r="IV7" s="339"/>
      <c r="IW7" s="339"/>
      <c r="IX7" s="339"/>
      <c r="IY7" s="339"/>
      <c r="IZ7" s="339"/>
      <c r="JA7" s="339"/>
      <c r="JB7" s="339"/>
      <c r="JC7" s="339"/>
      <c r="JD7" s="339"/>
      <c r="JE7" s="339"/>
      <c r="JF7" s="339"/>
      <c r="JG7" s="339"/>
      <c r="JH7" s="339"/>
      <c r="JI7" s="339"/>
      <c r="JJ7" s="339"/>
      <c r="JK7" s="339"/>
      <c r="JL7" s="339"/>
      <c r="JM7" s="339"/>
      <c r="JN7" s="339"/>
      <c r="JO7" s="339"/>
      <c r="JP7" s="339"/>
      <c r="JQ7" s="339"/>
      <c r="JR7" s="339"/>
      <c r="JS7" s="339"/>
      <c r="JT7" s="339"/>
      <c r="JU7" s="339"/>
      <c r="JV7" s="339"/>
      <c r="JW7" s="339"/>
      <c r="JX7" s="339"/>
      <c r="JY7" s="339"/>
      <c r="JZ7" s="339"/>
      <c r="KA7" s="339"/>
      <c r="KB7" s="339"/>
      <c r="KC7" s="339"/>
      <c r="KD7" s="339"/>
      <c r="KE7" s="339"/>
      <c r="KF7" s="339"/>
      <c r="KG7" s="339"/>
      <c r="KH7" s="339"/>
      <c r="KI7" s="339"/>
      <c r="KJ7" s="339"/>
      <c r="KK7" s="339"/>
      <c r="KL7" s="339"/>
      <c r="KM7" s="339"/>
      <c r="KN7" s="339"/>
    </row>
    <row r="8" spans="1:300">
      <c r="A8" s="401" t="s">
        <v>122</v>
      </c>
      <c r="B8" s="401"/>
      <c r="C8" s="401"/>
      <c r="D8" s="401"/>
    </row>
    <row r="9" spans="1:300">
      <c r="A9" s="36" t="s">
        <v>1</v>
      </c>
      <c r="B9" s="36" t="s">
        <v>1</v>
      </c>
      <c r="C9" s="36" t="s">
        <v>1</v>
      </c>
      <c r="D9" s="36" t="s">
        <v>1</v>
      </c>
      <c r="E9" s="30" t="s">
        <v>1</v>
      </c>
      <c r="F9" s="29" t="s">
        <v>1</v>
      </c>
      <c r="G9" s="29" t="s">
        <v>1</v>
      </c>
      <c r="H9" s="29" t="s">
        <v>1</v>
      </c>
      <c r="I9" s="29" t="s">
        <v>1</v>
      </c>
      <c r="J9" s="29" t="s">
        <v>1</v>
      </c>
      <c r="K9" s="29" t="s">
        <v>1</v>
      </c>
      <c r="L9" s="29" t="s">
        <v>1</v>
      </c>
      <c r="M9" s="29" t="s">
        <v>1</v>
      </c>
      <c r="N9" s="29" t="s">
        <v>1</v>
      </c>
      <c r="O9" s="29" t="s">
        <v>1</v>
      </c>
      <c r="P9" s="29" t="s">
        <v>1</v>
      </c>
      <c r="Q9" s="29" t="s">
        <v>1</v>
      </c>
      <c r="R9" s="29" t="s">
        <v>1</v>
      </c>
      <c r="S9" s="29" t="s">
        <v>1</v>
      </c>
      <c r="T9" s="29" t="s">
        <v>1</v>
      </c>
      <c r="U9" s="29" t="s">
        <v>1</v>
      </c>
      <c r="V9" s="28" t="s">
        <v>123</v>
      </c>
      <c r="W9" s="18" t="s">
        <v>1</v>
      </c>
      <c r="X9" s="26" t="s">
        <v>124</v>
      </c>
      <c r="Y9" s="25" t="s">
        <v>1</v>
      </c>
      <c r="Z9" s="25" t="s">
        <v>1</v>
      </c>
      <c r="AA9" s="25" t="s">
        <v>1</v>
      </c>
      <c r="AB9" s="25" t="s">
        <v>1</v>
      </c>
      <c r="AC9" s="25" t="s">
        <v>1</v>
      </c>
      <c r="AD9" s="25" t="s">
        <v>1</v>
      </c>
      <c r="AE9" s="25" t="s">
        <v>1</v>
      </c>
      <c r="AF9" s="25" t="s">
        <v>1</v>
      </c>
      <c r="AG9" s="25" t="s">
        <v>1</v>
      </c>
      <c r="AH9" s="25" t="s">
        <v>1</v>
      </c>
      <c r="AI9" s="24" t="s">
        <v>1</v>
      </c>
    </row>
    <row r="10" spans="1:300">
      <c r="A10" s="36" t="s">
        <v>1</v>
      </c>
      <c r="B10" s="36" t="s">
        <v>1</v>
      </c>
      <c r="C10" s="36" t="s">
        <v>1</v>
      </c>
      <c r="D10" s="36" t="s">
        <v>1</v>
      </c>
      <c r="E10" s="26" t="s">
        <v>125</v>
      </c>
      <c r="F10" s="25" t="s">
        <v>1</v>
      </c>
      <c r="G10" s="25" t="s">
        <v>1</v>
      </c>
      <c r="H10" s="25" t="s">
        <v>1</v>
      </c>
      <c r="I10" s="24" t="s">
        <v>1</v>
      </c>
      <c r="J10" s="26" t="s">
        <v>126</v>
      </c>
      <c r="K10" s="25" t="s">
        <v>1</v>
      </c>
      <c r="L10" s="25" t="s">
        <v>1</v>
      </c>
      <c r="M10" s="25" t="s">
        <v>1</v>
      </c>
      <c r="N10" s="24" t="s">
        <v>1</v>
      </c>
      <c r="O10" s="26" t="s">
        <v>127</v>
      </c>
      <c r="P10" s="25" t="s">
        <v>1</v>
      </c>
      <c r="Q10" s="25" t="s">
        <v>1</v>
      </c>
      <c r="R10" s="25" t="s">
        <v>1</v>
      </c>
      <c r="S10" s="24" t="s">
        <v>1</v>
      </c>
      <c r="T10" s="26" t="s">
        <v>128</v>
      </c>
      <c r="U10" s="25" t="s">
        <v>1</v>
      </c>
      <c r="V10" s="24" t="s">
        <v>1</v>
      </c>
      <c r="W10" s="18" t="s">
        <v>1</v>
      </c>
      <c r="X10" s="26" t="s">
        <v>128</v>
      </c>
      <c r="Y10" s="24" t="s">
        <v>1</v>
      </c>
      <c r="Z10" s="26" t="s">
        <v>129</v>
      </c>
      <c r="AA10" s="25" t="s">
        <v>1</v>
      </c>
      <c r="AB10" s="25" t="s">
        <v>1</v>
      </c>
      <c r="AC10" s="25" t="s">
        <v>1</v>
      </c>
      <c r="AD10" s="24" t="s">
        <v>1</v>
      </c>
      <c r="AE10" s="26" t="s">
        <v>130</v>
      </c>
      <c r="AF10" s="25" t="s">
        <v>1</v>
      </c>
      <c r="AG10" s="25" t="s">
        <v>1</v>
      </c>
      <c r="AH10" s="25" t="s">
        <v>1</v>
      </c>
      <c r="AI10" s="24" t="s">
        <v>1</v>
      </c>
    </row>
    <row r="11" spans="1:300">
      <c r="A11" s="36" t="s">
        <v>1</v>
      </c>
      <c r="B11" s="36" t="s">
        <v>1</v>
      </c>
      <c r="C11" s="36" t="s">
        <v>1</v>
      </c>
      <c r="D11" s="36" t="s">
        <v>1</v>
      </c>
      <c r="E11" s="22" t="s">
        <v>131</v>
      </c>
      <c r="F11" s="22" t="s">
        <v>132</v>
      </c>
      <c r="G11" s="22" t="s">
        <v>133</v>
      </c>
      <c r="H11" s="22" t="s">
        <v>134</v>
      </c>
      <c r="I11" s="19" t="s">
        <v>135</v>
      </c>
      <c r="J11" s="22" t="s">
        <v>136</v>
      </c>
      <c r="K11" s="22" t="s">
        <v>137</v>
      </c>
      <c r="L11" s="22" t="s">
        <v>138</v>
      </c>
      <c r="M11" s="22" t="s">
        <v>139</v>
      </c>
      <c r="N11" s="19" t="s">
        <v>140</v>
      </c>
      <c r="O11" s="22" t="s">
        <v>141</v>
      </c>
      <c r="P11" s="22" t="s">
        <v>142</v>
      </c>
      <c r="Q11" s="22" t="s">
        <v>143</v>
      </c>
      <c r="R11" s="22" t="s">
        <v>144</v>
      </c>
      <c r="S11" s="19" t="s">
        <v>145</v>
      </c>
      <c r="T11" s="22" t="s">
        <v>146</v>
      </c>
      <c r="U11" s="22" t="s">
        <v>147</v>
      </c>
      <c r="V11" s="22" t="s">
        <v>148</v>
      </c>
      <c r="W11" s="18" t="s">
        <v>1</v>
      </c>
      <c r="X11" s="21" t="s">
        <v>149</v>
      </c>
      <c r="Y11" s="19" t="s">
        <v>150</v>
      </c>
      <c r="Z11" s="20" t="s">
        <v>151</v>
      </c>
      <c r="AA11" s="20" t="s">
        <v>152</v>
      </c>
      <c r="AB11" s="20" t="s">
        <v>153</v>
      </c>
      <c r="AC11" s="20" t="s">
        <v>154</v>
      </c>
      <c r="AD11" s="19" t="s">
        <v>108</v>
      </c>
      <c r="AE11" s="20" t="s">
        <v>155</v>
      </c>
      <c r="AF11" s="20" t="s">
        <v>156</v>
      </c>
      <c r="AG11" s="20" t="s">
        <v>157</v>
      </c>
      <c r="AH11" s="20" t="s">
        <v>158</v>
      </c>
      <c r="AI11" s="19" t="s">
        <v>116</v>
      </c>
    </row>
    <row r="12" spans="1:300">
      <c r="A12" s="33" t="s">
        <v>1</v>
      </c>
      <c r="B12" s="33" t="s">
        <v>1</v>
      </c>
      <c r="C12" s="33" t="s">
        <v>159</v>
      </c>
      <c r="D12" s="33" t="s">
        <v>1</v>
      </c>
      <c r="E12" s="5">
        <v>9</v>
      </c>
      <c r="F12" s="5">
        <v>12</v>
      </c>
      <c r="G12" s="5">
        <v>10</v>
      </c>
      <c r="H12" s="5">
        <v>11</v>
      </c>
      <c r="I12" s="34">
        <v>14</v>
      </c>
      <c r="J12" s="5">
        <v>11</v>
      </c>
      <c r="K12" s="5">
        <v>10</v>
      </c>
      <c r="L12" s="5">
        <v>10</v>
      </c>
      <c r="M12" s="5">
        <v>9</v>
      </c>
      <c r="N12" s="34">
        <v>13</v>
      </c>
      <c r="O12" s="5">
        <v>11</v>
      </c>
      <c r="P12" s="5">
        <v>10</v>
      </c>
      <c r="Q12" s="5">
        <v>9</v>
      </c>
      <c r="R12" s="5">
        <v>8</v>
      </c>
      <c r="S12" s="34">
        <v>13</v>
      </c>
      <c r="T12" s="5">
        <v>10</v>
      </c>
      <c r="U12" s="5">
        <v>8</v>
      </c>
      <c r="V12" s="5">
        <v>9</v>
      </c>
      <c r="W12" s="18" t="s">
        <v>1</v>
      </c>
      <c r="X12" s="35">
        <v>8</v>
      </c>
      <c r="Y12" s="34">
        <v>10</v>
      </c>
      <c r="Z12" s="5">
        <v>3</v>
      </c>
      <c r="AA12" s="5">
        <v>3</v>
      </c>
      <c r="AB12" s="5">
        <v>3</v>
      </c>
      <c r="AC12" s="5">
        <v>3</v>
      </c>
      <c r="AD12" s="34">
        <v>10</v>
      </c>
      <c r="AE12" s="5">
        <v>1</v>
      </c>
      <c r="AF12" s="5">
        <v>1</v>
      </c>
      <c r="AG12" s="5">
        <v>1</v>
      </c>
      <c r="AH12" s="5">
        <v>1</v>
      </c>
      <c r="AI12" s="34">
        <v>7</v>
      </c>
    </row>
    <row r="13" spans="1:300">
      <c r="A13" s="33" t="s">
        <v>1</v>
      </c>
      <c r="B13" s="33" t="s">
        <v>1</v>
      </c>
      <c r="C13" s="33" t="s">
        <v>14</v>
      </c>
      <c r="D13" s="33" t="s">
        <v>1</v>
      </c>
      <c r="E13" s="3">
        <v>31315.221969999999</v>
      </c>
      <c r="F13" s="3">
        <v>15659.181060000001</v>
      </c>
      <c r="G13" s="3">
        <v>33669.530420000003</v>
      </c>
      <c r="H13" s="3">
        <v>34020.311869999998</v>
      </c>
      <c r="I13" s="16">
        <v>116951.38138000001</v>
      </c>
      <c r="J13" s="3">
        <v>30564.738590000001</v>
      </c>
      <c r="K13" s="3">
        <v>22704.91764</v>
      </c>
      <c r="L13" s="3">
        <v>32722.944490000002</v>
      </c>
      <c r="M13" s="3">
        <v>35465.950530000002</v>
      </c>
      <c r="N13" s="16">
        <v>126111.34765</v>
      </c>
      <c r="O13" s="3">
        <v>30389.02016</v>
      </c>
      <c r="P13" s="3">
        <v>34488.740360000003</v>
      </c>
      <c r="Q13" s="3">
        <v>36321.010459999998</v>
      </c>
      <c r="R13" s="3">
        <v>40223.016710000004</v>
      </c>
      <c r="S13" s="16">
        <v>146875.54730000001</v>
      </c>
      <c r="T13" s="3">
        <v>35890.383620000001</v>
      </c>
      <c r="U13" s="3">
        <v>40394.976150000002</v>
      </c>
      <c r="V13" s="3">
        <v>40455.385119999999</v>
      </c>
      <c r="W13" s="18" t="s">
        <v>1</v>
      </c>
      <c r="X13" s="17">
        <v>39143.40352</v>
      </c>
      <c r="Y13" s="16">
        <v>161832.30710999999</v>
      </c>
      <c r="Z13" s="3">
        <v>39772.272270000001</v>
      </c>
      <c r="AA13" s="3">
        <v>40946.245510000001</v>
      </c>
      <c r="AB13" s="3">
        <v>37658.135860000002</v>
      </c>
      <c r="AC13" s="3">
        <v>37614.217299999997</v>
      </c>
      <c r="AD13" s="16">
        <v>167908.46734999999</v>
      </c>
      <c r="AE13" s="3">
        <v>36178</v>
      </c>
      <c r="AF13" s="3">
        <v>34052</v>
      </c>
      <c r="AG13" s="3">
        <v>29562</v>
      </c>
      <c r="AH13" s="3">
        <v>30587</v>
      </c>
      <c r="AI13" s="16">
        <v>164543.57863</v>
      </c>
    </row>
    <row r="14" spans="1:300">
      <c r="A14" s="33" t="s">
        <v>1</v>
      </c>
      <c r="B14" s="33" t="s">
        <v>1</v>
      </c>
      <c r="C14" s="33" t="s">
        <v>15</v>
      </c>
      <c r="D14" s="33" t="s">
        <v>1</v>
      </c>
      <c r="E14" s="3">
        <v>32343.900440000001</v>
      </c>
      <c r="F14" s="3">
        <v>15948.58808</v>
      </c>
      <c r="G14" s="3">
        <v>33511.632799999999</v>
      </c>
      <c r="H14" s="3">
        <v>33891.291640000003</v>
      </c>
      <c r="I14" s="16">
        <v>117474.89429</v>
      </c>
      <c r="J14" s="3">
        <v>32226.795910000001</v>
      </c>
      <c r="K14" s="3">
        <v>24250.4002</v>
      </c>
      <c r="L14" s="3">
        <v>32542.068299999999</v>
      </c>
      <c r="M14" s="3">
        <v>35521.572220000002</v>
      </c>
      <c r="N14" s="16">
        <v>126310.56154</v>
      </c>
      <c r="O14" s="3">
        <v>31127.50618</v>
      </c>
      <c r="P14" s="3">
        <v>34298.010999999999</v>
      </c>
      <c r="Q14" s="3">
        <v>36247.266669999997</v>
      </c>
      <c r="R14" s="3">
        <v>40372.041250000002</v>
      </c>
      <c r="S14" s="16">
        <v>146559.11744999999</v>
      </c>
      <c r="T14" s="3">
        <v>36082.932999999997</v>
      </c>
      <c r="U14" s="3">
        <v>40381.403749999998</v>
      </c>
      <c r="V14" s="3">
        <v>41219.776669999999</v>
      </c>
      <c r="W14" s="18" t="s">
        <v>1</v>
      </c>
      <c r="X14" s="17">
        <v>39085.9</v>
      </c>
      <c r="Y14" s="16">
        <v>162487.04999999999</v>
      </c>
      <c r="Z14" s="3">
        <v>41928.666669999999</v>
      </c>
      <c r="AA14" s="3">
        <v>44055</v>
      </c>
      <c r="AB14" s="3">
        <v>41295</v>
      </c>
      <c r="AC14" s="3">
        <v>42216.666669999999</v>
      </c>
      <c r="AD14" s="16">
        <v>171103.99600000001</v>
      </c>
      <c r="AE14" s="3">
        <v>36178</v>
      </c>
      <c r="AF14" s="3">
        <v>34052</v>
      </c>
      <c r="AG14" s="3">
        <v>29562</v>
      </c>
      <c r="AH14" s="3">
        <v>30587</v>
      </c>
      <c r="AI14" s="16">
        <v>166099.41428999999</v>
      </c>
    </row>
    <row r="15" spans="1:300">
      <c r="A15" s="33" t="s">
        <v>1</v>
      </c>
      <c r="B15" s="33" t="s">
        <v>1</v>
      </c>
      <c r="C15" s="33" t="s">
        <v>16</v>
      </c>
      <c r="D15" s="33" t="s">
        <v>1</v>
      </c>
      <c r="E15" s="3">
        <v>-3.18</v>
      </c>
      <c r="F15" s="3">
        <v>-1.8149999999999999</v>
      </c>
      <c r="G15" s="3">
        <v>0.47099999999999997</v>
      </c>
      <c r="H15" s="3">
        <v>0.38100000000000001</v>
      </c>
      <c r="I15" s="16">
        <v>-0.44600000000000001</v>
      </c>
      <c r="J15" s="3">
        <v>-5.157</v>
      </c>
      <c r="K15" s="3">
        <v>-6.3730000000000002</v>
      </c>
      <c r="L15" s="3">
        <v>0.55600000000000005</v>
      </c>
      <c r="M15" s="3">
        <v>-0.157</v>
      </c>
      <c r="N15" s="16">
        <v>-0.158</v>
      </c>
      <c r="O15" s="3">
        <v>-2.3730000000000002</v>
      </c>
      <c r="P15" s="3">
        <v>0.55600000000000005</v>
      </c>
      <c r="Q15" s="3">
        <v>0.20300000000000001</v>
      </c>
      <c r="R15" s="3">
        <v>-0.36899999999999999</v>
      </c>
      <c r="S15" s="16">
        <v>0.216</v>
      </c>
      <c r="T15" s="3">
        <v>-0.53400000000000003</v>
      </c>
      <c r="U15" s="3">
        <v>3.4000000000000002E-2</v>
      </c>
      <c r="V15" s="3">
        <v>-1.8540000000000001</v>
      </c>
      <c r="W15" s="18" t="s">
        <v>1</v>
      </c>
      <c r="X15" s="17">
        <v>0.14699999999999999</v>
      </c>
      <c r="Y15" s="16">
        <v>-0.40300000000000002</v>
      </c>
      <c r="Z15" s="3">
        <v>-5.1429999999999998</v>
      </c>
      <c r="AA15" s="3">
        <v>-7.0570000000000004</v>
      </c>
      <c r="AB15" s="3">
        <v>-8.8070000000000004</v>
      </c>
      <c r="AC15" s="3">
        <v>-10.901999999999999</v>
      </c>
      <c r="AD15" s="16">
        <v>-1.8680000000000001</v>
      </c>
      <c r="AE15" s="3">
        <v>0</v>
      </c>
      <c r="AF15" s="3">
        <v>0</v>
      </c>
      <c r="AG15" s="3">
        <v>0</v>
      </c>
      <c r="AH15" s="3">
        <v>0</v>
      </c>
      <c r="AI15" s="16">
        <v>-0.93700000000000006</v>
      </c>
    </row>
    <row r="16" spans="1:300">
      <c r="A16" s="33" t="s">
        <v>1</v>
      </c>
      <c r="B16" s="33" t="s">
        <v>1</v>
      </c>
      <c r="C16" s="33" t="s">
        <v>19</v>
      </c>
      <c r="D16" s="33" t="s">
        <v>1</v>
      </c>
      <c r="E16" s="3">
        <v>37122</v>
      </c>
      <c r="F16" s="3">
        <v>26703.4</v>
      </c>
      <c r="G16" s="3">
        <v>36297.15</v>
      </c>
      <c r="H16" s="3">
        <v>37601</v>
      </c>
      <c r="I16" s="16">
        <v>121798</v>
      </c>
      <c r="J16" s="3">
        <v>36586</v>
      </c>
      <c r="K16" s="3">
        <v>33133</v>
      </c>
      <c r="L16" s="3">
        <v>40050</v>
      </c>
      <c r="M16" s="3">
        <v>40588</v>
      </c>
      <c r="N16" s="16">
        <v>131481</v>
      </c>
      <c r="O16" s="3">
        <v>34489</v>
      </c>
      <c r="P16" s="3">
        <v>37697</v>
      </c>
      <c r="Q16" s="3">
        <v>38513</v>
      </c>
      <c r="R16" s="3">
        <v>42615</v>
      </c>
      <c r="S16" s="16">
        <v>149832</v>
      </c>
      <c r="T16" s="3">
        <v>38490.199999999997</v>
      </c>
      <c r="U16" s="3">
        <v>42500</v>
      </c>
      <c r="V16" s="3">
        <v>44030</v>
      </c>
      <c r="W16" s="18" t="s">
        <v>1</v>
      </c>
      <c r="X16" s="17">
        <v>45508</v>
      </c>
      <c r="Y16" s="16">
        <v>168195.7</v>
      </c>
      <c r="Z16" s="3">
        <v>45625</v>
      </c>
      <c r="AA16" s="3">
        <v>48825</v>
      </c>
      <c r="AB16" s="3">
        <v>47625</v>
      </c>
      <c r="AC16" s="3">
        <v>49225</v>
      </c>
      <c r="AD16" s="16">
        <v>191300</v>
      </c>
      <c r="AE16" s="3">
        <v>36178</v>
      </c>
      <c r="AF16" s="3">
        <v>34052</v>
      </c>
      <c r="AG16" s="3">
        <v>29562</v>
      </c>
      <c r="AH16" s="3">
        <v>30587</v>
      </c>
      <c r="AI16" s="16">
        <v>185871</v>
      </c>
    </row>
    <row r="17" spans="1:300">
      <c r="A17" s="33" t="s">
        <v>1</v>
      </c>
      <c r="B17" s="33" t="s">
        <v>1</v>
      </c>
      <c r="C17" s="33" t="s">
        <v>18</v>
      </c>
      <c r="D17" s="33" t="s">
        <v>1</v>
      </c>
      <c r="E17" s="3">
        <v>30160.9</v>
      </c>
      <c r="F17" s="3">
        <v>10736</v>
      </c>
      <c r="G17" s="3">
        <v>30469</v>
      </c>
      <c r="H17" s="3">
        <v>30059.68</v>
      </c>
      <c r="I17" s="16">
        <v>114104.6</v>
      </c>
      <c r="J17" s="3">
        <v>28886</v>
      </c>
      <c r="K17" s="3">
        <v>20914</v>
      </c>
      <c r="L17" s="3">
        <v>27334.959999999999</v>
      </c>
      <c r="M17" s="3">
        <v>31274</v>
      </c>
      <c r="N17" s="16">
        <v>122585</v>
      </c>
      <c r="O17" s="3">
        <v>28736</v>
      </c>
      <c r="P17" s="3">
        <v>29524</v>
      </c>
      <c r="Q17" s="3">
        <v>32178.1</v>
      </c>
      <c r="R17" s="3">
        <v>37607</v>
      </c>
      <c r="S17" s="16">
        <v>142367</v>
      </c>
      <c r="T17" s="3">
        <v>32568.13</v>
      </c>
      <c r="U17" s="3">
        <v>37446.129999999997</v>
      </c>
      <c r="V17" s="3">
        <v>36872</v>
      </c>
      <c r="W17" s="18" t="s">
        <v>1</v>
      </c>
      <c r="X17" s="17">
        <v>31238</v>
      </c>
      <c r="Y17" s="16">
        <v>153926</v>
      </c>
      <c r="Z17" s="3">
        <v>38581</v>
      </c>
      <c r="AA17" s="3">
        <v>38149</v>
      </c>
      <c r="AB17" s="3">
        <v>35586</v>
      </c>
      <c r="AC17" s="3">
        <v>33070</v>
      </c>
      <c r="AD17" s="16">
        <v>145386</v>
      </c>
      <c r="AE17" s="3">
        <v>36178</v>
      </c>
      <c r="AF17" s="3">
        <v>34052</v>
      </c>
      <c r="AG17" s="3">
        <v>29562</v>
      </c>
      <c r="AH17" s="3">
        <v>30587</v>
      </c>
      <c r="AI17" s="16">
        <v>130380</v>
      </c>
    </row>
    <row r="18" spans="1:300">
      <c r="A18" s="33" t="s">
        <v>1</v>
      </c>
      <c r="B18" s="33" t="s">
        <v>1</v>
      </c>
      <c r="C18" s="33" t="s">
        <v>34</v>
      </c>
      <c r="D18" s="33" t="s">
        <v>1</v>
      </c>
      <c r="E18" s="3" t="s">
        <v>40</v>
      </c>
      <c r="F18" s="3" t="s">
        <v>40</v>
      </c>
      <c r="G18" s="3" t="s">
        <v>40</v>
      </c>
      <c r="H18" s="3" t="s">
        <v>40</v>
      </c>
      <c r="I18" s="16" t="s">
        <v>39</v>
      </c>
      <c r="J18" s="3" t="s">
        <v>40</v>
      </c>
      <c r="K18" s="3" t="s">
        <v>40</v>
      </c>
      <c r="L18" s="3" t="s">
        <v>40</v>
      </c>
      <c r="M18" s="3" t="s">
        <v>40</v>
      </c>
      <c r="N18" s="16" t="s">
        <v>39</v>
      </c>
      <c r="O18" s="3" t="s">
        <v>40</v>
      </c>
      <c r="P18" s="3" t="s">
        <v>40</v>
      </c>
      <c r="Q18" s="3" t="s">
        <v>39</v>
      </c>
      <c r="R18" s="3" t="s">
        <v>39</v>
      </c>
      <c r="S18" s="16" t="s">
        <v>39</v>
      </c>
      <c r="T18" s="3" t="s">
        <v>40</v>
      </c>
      <c r="U18" s="3" t="s">
        <v>40</v>
      </c>
      <c r="V18" s="3" t="s">
        <v>40</v>
      </c>
      <c r="W18" s="18" t="s">
        <v>1</v>
      </c>
      <c r="X18" s="17" t="s">
        <v>40</v>
      </c>
      <c r="Y18" s="16" t="s">
        <v>39</v>
      </c>
      <c r="Z18" s="3" t="s">
        <v>40</v>
      </c>
      <c r="AA18" s="3" t="s">
        <v>40</v>
      </c>
      <c r="AB18" s="3" t="s">
        <v>40</v>
      </c>
      <c r="AC18" s="3" t="s">
        <v>40</v>
      </c>
      <c r="AD18" s="16" t="s">
        <v>39</v>
      </c>
      <c r="AE18" s="3" t="s">
        <v>40</v>
      </c>
      <c r="AF18" s="3" t="s">
        <v>40</v>
      </c>
      <c r="AG18" s="3" t="s">
        <v>40</v>
      </c>
      <c r="AH18" s="3" t="s">
        <v>40</v>
      </c>
      <c r="AI18" s="16" t="s">
        <v>40</v>
      </c>
    </row>
    <row r="19" spans="1:300">
      <c r="A19" s="32" t="s">
        <v>1</v>
      </c>
      <c r="B19" s="32" t="s">
        <v>1</v>
      </c>
      <c r="C19" s="32" t="s">
        <v>160</v>
      </c>
      <c r="D19" s="32" t="s">
        <v>1</v>
      </c>
      <c r="E19" s="31">
        <v>31340</v>
      </c>
      <c r="F19" s="31">
        <v>16622</v>
      </c>
      <c r="G19" s="31">
        <v>34707</v>
      </c>
      <c r="H19" s="31">
        <v>33216</v>
      </c>
      <c r="I19" s="31">
        <v>115885</v>
      </c>
      <c r="J19" s="31">
        <v>33554</v>
      </c>
      <c r="K19" s="31">
        <v>24128</v>
      </c>
      <c r="L19" s="31">
        <v>33211</v>
      </c>
      <c r="M19" s="31">
        <v>35257</v>
      </c>
      <c r="N19" s="31">
        <v>126150</v>
      </c>
      <c r="O19" s="31">
        <v>32111</v>
      </c>
      <c r="P19" s="31">
        <v>37909</v>
      </c>
      <c r="Q19" s="31">
        <v>37194</v>
      </c>
      <c r="R19" s="31">
        <v>41766</v>
      </c>
      <c r="S19" s="31">
        <v>148980</v>
      </c>
      <c r="T19" s="31">
        <v>39085</v>
      </c>
      <c r="U19" s="31">
        <v>42427</v>
      </c>
      <c r="V19" s="31">
        <v>41176</v>
      </c>
      <c r="W19" s="18" t="s">
        <v>1</v>
      </c>
      <c r="X19" s="31" t="s">
        <v>40</v>
      </c>
      <c r="Y19" s="31" t="s">
        <v>40</v>
      </c>
      <c r="Z19" s="31" t="s">
        <v>40</v>
      </c>
      <c r="AA19" s="31" t="s">
        <v>40</v>
      </c>
      <c r="AB19" s="31" t="s">
        <v>40</v>
      </c>
      <c r="AC19" s="31" t="s">
        <v>40</v>
      </c>
      <c r="AD19" s="31" t="s">
        <v>40</v>
      </c>
      <c r="AE19" s="31" t="s">
        <v>40</v>
      </c>
      <c r="AF19" s="31" t="s">
        <v>40</v>
      </c>
      <c r="AG19" s="31" t="s">
        <v>40</v>
      </c>
      <c r="AH19" s="31" t="s">
        <v>40</v>
      </c>
      <c r="AI19" s="31" t="s">
        <v>40</v>
      </c>
    </row>
    <row r="20" spans="1:300">
      <c r="A20" s="339" t="s">
        <v>1</v>
      </c>
      <c r="B20" s="339"/>
      <c r="C20" s="339"/>
      <c r="D20" s="339"/>
      <c r="E20" s="339"/>
      <c r="F20" s="339"/>
      <c r="G20" s="339"/>
      <c r="H20" s="339"/>
      <c r="I20" s="339"/>
      <c r="J20" s="339"/>
      <c r="K20" s="339"/>
      <c r="L20" s="339"/>
      <c r="M20" s="339"/>
      <c r="N20" s="339"/>
      <c r="O20" s="339"/>
      <c r="P20" s="339"/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39"/>
      <c r="AG20" s="339"/>
      <c r="AH20" s="339"/>
      <c r="AI20" s="339"/>
      <c r="AJ20" s="339"/>
      <c r="AK20" s="339"/>
      <c r="AL20" s="339"/>
      <c r="AM20" s="339"/>
      <c r="AN20" s="339"/>
      <c r="AO20" s="339"/>
      <c r="AP20" s="339"/>
      <c r="AQ20" s="339"/>
      <c r="AR20" s="339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39"/>
      <c r="BP20" s="339"/>
      <c r="BQ20" s="339"/>
      <c r="BR20" s="339"/>
      <c r="BS20" s="339"/>
      <c r="BT20" s="339"/>
      <c r="BU20" s="339"/>
      <c r="BV20" s="339"/>
      <c r="BW20" s="339"/>
      <c r="BX20" s="339"/>
      <c r="BY20" s="339"/>
      <c r="BZ20" s="339"/>
      <c r="CA20" s="339"/>
      <c r="CB20" s="339"/>
      <c r="CC20" s="339"/>
      <c r="CD20" s="339"/>
      <c r="CE20" s="339"/>
      <c r="CF20" s="339"/>
      <c r="CG20" s="339"/>
      <c r="CH20" s="339"/>
      <c r="CI20" s="339"/>
      <c r="CJ20" s="339"/>
      <c r="CK20" s="339"/>
      <c r="CL20" s="339"/>
      <c r="CM20" s="339"/>
      <c r="CN20" s="339"/>
      <c r="CO20" s="339"/>
      <c r="CP20" s="339"/>
      <c r="CQ20" s="339"/>
      <c r="CR20" s="339"/>
      <c r="CS20" s="339"/>
      <c r="CT20" s="339"/>
      <c r="CU20" s="339"/>
      <c r="CV20" s="339"/>
      <c r="CW20" s="339"/>
      <c r="CX20" s="339"/>
      <c r="CY20" s="339"/>
      <c r="CZ20" s="339"/>
      <c r="DA20" s="339"/>
      <c r="DB20" s="339"/>
      <c r="DC20" s="339"/>
      <c r="DD20" s="339"/>
      <c r="DE20" s="339"/>
      <c r="DF20" s="339"/>
      <c r="DG20" s="339"/>
      <c r="DH20" s="339"/>
      <c r="DI20" s="339"/>
      <c r="DJ20" s="339"/>
      <c r="DK20" s="339"/>
      <c r="DL20" s="339"/>
      <c r="DM20" s="339"/>
      <c r="DN20" s="339"/>
      <c r="DO20" s="339"/>
      <c r="DP20" s="339"/>
      <c r="DQ20" s="339"/>
      <c r="DR20" s="339"/>
      <c r="DS20" s="339"/>
      <c r="DT20" s="339"/>
      <c r="DU20" s="339"/>
      <c r="DV20" s="339"/>
      <c r="DW20" s="339"/>
      <c r="DX20" s="339"/>
      <c r="DY20" s="339"/>
      <c r="DZ20" s="339"/>
      <c r="EA20" s="339"/>
      <c r="EB20" s="339"/>
      <c r="EC20" s="339"/>
      <c r="ED20" s="339"/>
      <c r="EE20" s="339"/>
      <c r="EF20" s="339"/>
      <c r="EG20" s="339"/>
      <c r="EH20" s="339"/>
      <c r="EI20" s="339"/>
      <c r="EJ20" s="339"/>
      <c r="EK20" s="339"/>
      <c r="EL20" s="339"/>
      <c r="EM20" s="339"/>
      <c r="EN20" s="339"/>
      <c r="EO20" s="339"/>
      <c r="EP20" s="339"/>
      <c r="EQ20" s="339"/>
      <c r="ER20" s="339"/>
      <c r="ES20" s="339"/>
      <c r="ET20" s="339"/>
      <c r="EU20" s="339"/>
      <c r="EV20" s="339"/>
      <c r="EW20" s="339"/>
      <c r="EX20" s="339"/>
      <c r="EY20" s="339"/>
      <c r="EZ20" s="339"/>
      <c r="FA20" s="339"/>
      <c r="FB20" s="339"/>
      <c r="FC20" s="339"/>
      <c r="FD20" s="339"/>
      <c r="FE20" s="339"/>
      <c r="FF20" s="339"/>
      <c r="FG20" s="339"/>
      <c r="FH20" s="339"/>
      <c r="FI20" s="339"/>
      <c r="FJ20" s="339"/>
      <c r="FK20" s="339"/>
      <c r="FL20" s="339"/>
      <c r="FM20" s="339"/>
      <c r="FN20" s="339"/>
      <c r="FO20" s="339"/>
      <c r="FP20" s="339"/>
      <c r="FQ20" s="339"/>
      <c r="FR20" s="339"/>
      <c r="FS20" s="339"/>
      <c r="FT20" s="339"/>
      <c r="FU20" s="339"/>
      <c r="FV20" s="339"/>
      <c r="FW20" s="339"/>
      <c r="FX20" s="339"/>
      <c r="FY20" s="339"/>
      <c r="FZ20" s="339"/>
      <c r="GA20" s="339"/>
      <c r="GB20" s="339"/>
      <c r="GC20" s="339"/>
      <c r="GD20" s="339"/>
      <c r="GE20" s="339"/>
      <c r="GF20" s="339"/>
      <c r="GG20" s="339"/>
      <c r="GH20" s="339"/>
      <c r="GI20" s="339"/>
      <c r="GJ20" s="339"/>
      <c r="GK20" s="339"/>
      <c r="GL20" s="339"/>
      <c r="GM20" s="339"/>
      <c r="GN20" s="339"/>
      <c r="GO20" s="339"/>
      <c r="GP20" s="339"/>
      <c r="GQ20" s="339"/>
      <c r="GR20" s="339"/>
      <c r="GS20" s="339"/>
      <c r="GT20" s="339"/>
      <c r="GU20" s="339"/>
      <c r="GV20" s="339"/>
      <c r="GW20" s="339"/>
      <c r="GX20" s="339"/>
      <c r="GY20" s="339"/>
      <c r="GZ20" s="339"/>
      <c r="HA20" s="339"/>
      <c r="HB20" s="339"/>
      <c r="HC20" s="339"/>
      <c r="HD20" s="339"/>
      <c r="HE20" s="339"/>
      <c r="HF20" s="339"/>
      <c r="HG20" s="339"/>
      <c r="HH20" s="339"/>
      <c r="HI20" s="339"/>
      <c r="HJ20" s="339"/>
      <c r="HK20" s="339"/>
      <c r="HL20" s="339"/>
      <c r="HM20" s="339"/>
      <c r="HN20" s="339"/>
      <c r="HO20" s="339"/>
      <c r="HP20" s="339"/>
      <c r="HQ20" s="339"/>
      <c r="HR20" s="339"/>
      <c r="HS20" s="339"/>
      <c r="HT20" s="339"/>
      <c r="HU20" s="339"/>
      <c r="HV20" s="339"/>
      <c r="HW20" s="339"/>
      <c r="HX20" s="339"/>
      <c r="HY20" s="339"/>
      <c r="HZ20" s="339"/>
      <c r="IA20" s="339"/>
      <c r="IB20" s="339"/>
      <c r="IC20" s="339"/>
      <c r="ID20" s="339"/>
      <c r="IE20" s="339"/>
      <c r="IF20" s="339"/>
      <c r="IG20" s="339"/>
      <c r="IH20" s="339"/>
      <c r="II20" s="339"/>
      <c r="IJ20" s="339"/>
      <c r="IK20" s="339"/>
      <c r="IL20" s="339"/>
      <c r="IM20" s="339"/>
      <c r="IN20" s="339"/>
      <c r="IO20" s="339"/>
      <c r="IP20" s="339"/>
      <c r="IQ20" s="339"/>
      <c r="IR20" s="339"/>
      <c r="IS20" s="339"/>
      <c r="IT20" s="339"/>
      <c r="IU20" s="339"/>
      <c r="IV20" s="339"/>
      <c r="IW20" s="339"/>
      <c r="IX20" s="339"/>
      <c r="IY20" s="339"/>
      <c r="IZ20" s="339"/>
      <c r="JA20" s="339"/>
      <c r="JB20" s="339"/>
      <c r="JC20" s="339"/>
      <c r="JD20" s="339"/>
      <c r="JE20" s="339"/>
      <c r="JF20" s="339"/>
      <c r="JG20" s="339"/>
      <c r="JH20" s="339"/>
      <c r="JI20" s="339"/>
      <c r="JJ20" s="339"/>
      <c r="JK20" s="339"/>
      <c r="JL20" s="339"/>
      <c r="JM20" s="339"/>
      <c r="JN20" s="339"/>
      <c r="JO20" s="339"/>
      <c r="JP20" s="339"/>
      <c r="JQ20" s="339"/>
      <c r="JR20" s="339"/>
      <c r="JS20" s="339"/>
      <c r="JT20" s="339"/>
      <c r="JU20" s="339"/>
      <c r="JV20" s="339"/>
      <c r="JW20" s="339"/>
      <c r="JX20" s="339"/>
      <c r="JY20" s="339"/>
      <c r="JZ20" s="339"/>
      <c r="KA20" s="339"/>
      <c r="KB20" s="339"/>
      <c r="KC20" s="339"/>
      <c r="KD20" s="339"/>
      <c r="KE20" s="339"/>
      <c r="KF20" s="339"/>
      <c r="KG20" s="339"/>
      <c r="KH20" s="339"/>
      <c r="KI20" s="339"/>
      <c r="KJ20" s="339"/>
      <c r="KK20" s="339"/>
      <c r="KL20" s="339"/>
      <c r="KM20" s="339"/>
      <c r="KN20" s="339"/>
    </row>
    <row r="21" spans="1:300">
      <c r="A21" s="401" t="s">
        <v>161</v>
      </c>
      <c r="B21" s="401"/>
      <c r="C21" s="401"/>
      <c r="D21" s="401"/>
    </row>
    <row r="22" spans="1:300">
      <c r="A22" s="27" t="s">
        <v>1</v>
      </c>
      <c r="B22" s="27" t="s">
        <v>1</v>
      </c>
      <c r="C22" s="27" t="s">
        <v>1</v>
      </c>
      <c r="D22" s="27" t="s">
        <v>1</v>
      </c>
      <c r="E22" s="30" t="s">
        <v>1</v>
      </c>
      <c r="F22" s="29" t="s">
        <v>1</v>
      </c>
      <c r="G22" s="29" t="s">
        <v>1</v>
      </c>
      <c r="H22" s="29" t="s">
        <v>1</v>
      </c>
      <c r="I22" s="29" t="s">
        <v>1</v>
      </c>
      <c r="J22" s="29" t="s">
        <v>1</v>
      </c>
      <c r="K22" s="29" t="s">
        <v>1</v>
      </c>
      <c r="L22" s="29" t="s">
        <v>1</v>
      </c>
      <c r="M22" s="29" t="s">
        <v>1</v>
      </c>
      <c r="N22" s="29" t="s">
        <v>1</v>
      </c>
      <c r="O22" s="29" t="s">
        <v>1</v>
      </c>
      <c r="P22" s="29" t="s">
        <v>1</v>
      </c>
      <c r="Q22" s="29" t="s">
        <v>1</v>
      </c>
      <c r="R22" s="29" t="s">
        <v>1</v>
      </c>
      <c r="S22" s="29" t="s">
        <v>1</v>
      </c>
      <c r="T22" s="29" t="s">
        <v>1</v>
      </c>
      <c r="U22" s="29" t="s">
        <v>1</v>
      </c>
      <c r="V22" s="28" t="s">
        <v>123</v>
      </c>
      <c r="W22" s="18" t="s">
        <v>1</v>
      </c>
      <c r="X22" s="26" t="s">
        <v>124</v>
      </c>
      <c r="Y22" s="25" t="s">
        <v>1</v>
      </c>
      <c r="Z22" s="25" t="s">
        <v>1</v>
      </c>
      <c r="AA22" s="25" t="s">
        <v>1</v>
      </c>
      <c r="AB22" s="25" t="s">
        <v>1</v>
      </c>
      <c r="AC22" s="25" t="s">
        <v>1</v>
      </c>
      <c r="AD22" s="25" t="s">
        <v>1</v>
      </c>
      <c r="AE22" s="25" t="s">
        <v>1</v>
      </c>
      <c r="AF22" s="25" t="s">
        <v>1</v>
      </c>
      <c r="AG22" s="25" t="s">
        <v>1</v>
      </c>
      <c r="AH22" s="25" t="s">
        <v>1</v>
      </c>
      <c r="AI22" s="24" t="s">
        <v>1</v>
      </c>
    </row>
    <row r="23" spans="1:300">
      <c r="A23" s="27" t="s">
        <v>1</v>
      </c>
      <c r="B23" s="27" t="s">
        <v>1</v>
      </c>
      <c r="C23" s="27" t="s">
        <v>1</v>
      </c>
      <c r="D23" s="27" t="s">
        <v>1</v>
      </c>
      <c r="E23" s="26" t="s">
        <v>125</v>
      </c>
      <c r="F23" s="25" t="s">
        <v>1</v>
      </c>
      <c r="G23" s="25" t="s">
        <v>1</v>
      </c>
      <c r="H23" s="25" t="s">
        <v>1</v>
      </c>
      <c r="I23" s="24" t="s">
        <v>1</v>
      </c>
      <c r="J23" s="26" t="s">
        <v>126</v>
      </c>
      <c r="K23" s="25" t="s">
        <v>1</v>
      </c>
      <c r="L23" s="25" t="s">
        <v>1</v>
      </c>
      <c r="M23" s="25" t="s">
        <v>1</v>
      </c>
      <c r="N23" s="24" t="s">
        <v>1</v>
      </c>
      <c r="O23" s="26" t="s">
        <v>127</v>
      </c>
      <c r="P23" s="25" t="s">
        <v>1</v>
      </c>
      <c r="Q23" s="25" t="s">
        <v>1</v>
      </c>
      <c r="R23" s="25" t="s">
        <v>1</v>
      </c>
      <c r="S23" s="24" t="s">
        <v>1</v>
      </c>
      <c r="T23" s="26" t="s">
        <v>128</v>
      </c>
      <c r="U23" s="25" t="s">
        <v>1</v>
      </c>
      <c r="V23" s="24" t="s">
        <v>1</v>
      </c>
      <c r="W23" s="18" t="s">
        <v>1</v>
      </c>
      <c r="X23" s="26" t="s">
        <v>128</v>
      </c>
      <c r="Y23" s="24" t="s">
        <v>1</v>
      </c>
      <c r="Z23" s="26" t="s">
        <v>129</v>
      </c>
      <c r="AA23" s="25" t="s">
        <v>1</v>
      </c>
      <c r="AB23" s="25" t="s">
        <v>1</v>
      </c>
      <c r="AC23" s="25" t="s">
        <v>1</v>
      </c>
      <c r="AD23" s="24" t="s">
        <v>1</v>
      </c>
      <c r="AE23" s="26" t="s">
        <v>130</v>
      </c>
      <c r="AF23" s="25" t="s">
        <v>1</v>
      </c>
      <c r="AG23" s="25" t="s">
        <v>1</v>
      </c>
      <c r="AH23" s="25" t="s">
        <v>1</v>
      </c>
      <c r="AI23" s="24" t="s">
        <v>1</v>
      </c>
    </row>
    <row r="24" spans="1:300">
      <c r="A24" s="23" t="s">
        <v>1</v>
      </c>
      <c r="B24" s="23" t="s">
        <v>48</v>
      </c>
      <c r="C24" s="23" t="s">
        <v>162</v>
      </c>
      <c r="D24" s="23" t="s">
        <v>50</v>
      </c>
      <c r="E24" s="22" t="s">
        <v>131</v>
      </c>
      <c r="F24" s="22" t="s">
        <v>132</v>
      </c>
      <c r="G24" s="22" t="s">
        <v>133</v>
      </c>
      <c r="H24" s="22" t="s">
        <v>134</v>
      </c>
      <c r="I24" s="19" t="s">
        <v>135</v>
      </c>
      <c r="J24" s="22" t="s">
        <v>136</v>
      </c>
      <c r="K24" s="22" t="s">
        <v>137</v>
      </c>
      <c r="L24" s="22" t="s">
        <v>138</v>
      </c>
      <c r="M24" s="22" t="s">
        <v>139</v>
      </c>
      <c r="N24" s="19" t="s">
        <v>163</v>
      </c>
      <c r="O24" s="22" t="s">
        <v>141</v>
      </c>
      <c r="P24" s="22" t="s">
        <v>142</v>
      </c>
      <c r="Q24" s="22" t="s">
        <v>143</v>
      </c>
      <c r="R24" s="22" t="s">
        <v>144</v>
      </c>
      <c r="S24" s="19" t="s">
        <v>145</v>
      </c>
      <c r="T24" s="22" t="s">
        <v>146</v>
      </c>
      <c r="U24" s="22" t="s">
        <v>147</v>
      </c>
      <c r="V24" s="22" t="s">
        <v>148</v>
      </c>
      <c r="W24" s="18" t="s">
        <v>1</v>
      </c>
      <c r="X24" s="21" t="s">
        <v>149</v>
      </c>
      <c r="Y24" s="19" t="s">
        <v>150</v>
      </c>
      <c r="Z24" s="20" t="s">
        <v>151</v>
      </c>
      <c r="AA24" s="20" t="s">
        <v>152</v>
      </c>
      <c r="AB24" s="20" t="s">
        <v>153</v>
      </c>
      <c r="AC24" s="20" t="s">
        <v>154</v>
      </c>
      <c r="AD24" s="19" t="s">
        <v>108</v>
      </c>
      <c r="AE24" s="20" t="s">
        <v>155</v>
      </c>
      <c r="AF24" s="20" t="s">
        <v>156</v>
      </c>
      <c r="AG24" s="20" t="s">
        <v>157</v>
      </c>
      <c r="AH24" s="20" t="s">
        <v>158</v>
      </c>
      <c r="AI24" s="19" t="s">
        <v>116</v>
      </c>
    </row>
    <row r="25" spans="1:300">
      <c r="A25" s="4" t="s">
        <v>1</v>
      </c>
      <c r="B25" s="4" t="s">
        <v>88</v>
      </c>
      <c r="C25" s="4" t="s">
        <v>89</v>
      </c>
      <c r="D25" s="4" t="s">
        <v>90</v>
      </c>
      <c r="E25" s="3">
        <v>33543</v>
      </c>
      <c r="F25" s="3">
        <v>16478</v>
      </c>
      <c r="G25" s="3">
        <v>36042</v>
      </c>
      <c r="H25" s="3">
        <v>35937</v>
      </c>
      <c r="I25" s="16">
        <v>127052</v>
      </c>
      <c r="J25" s="3">
        <v>38148</v>
      </c>
      <c r="K25" s="3">
        <v>28793</v>
      </c>
      <c r="L25" s="3">
        <v>35903</v>
      </c>
      <c r="M25" s="3">
        <v>44247</v>
      </c>
      <c r="N25" s="16">
        <v>142910</v>
      </c>
      <c r="O25" s="3">
        <v>34101</v>
      </c>
      <c r="P25" s="3">
        <v>38968</v>
      </c>
      <c r="Q25" s="3">
        <v>37417</v>
      </c>
      <c r="R25" s="3">
        <v>40616</v>
      </c>
      <c r="S25" s="16">
        <v>154674</v>
      </c>
      <c r="T25" s="3">
        <v>38793</v>
      </c>
      <c r="U25" s="3">
        <v>41871</v>
      </c>
      <c r="V25" s="3">
        <v>43428</v>
      </c>
      <c r="W25" s="18" t="s">
        <v>1</v>
      </c>
      <c r="X25" s="17">
        <v>44757</v>
      </c>
      <c r="Y25" s="16">
        <v>174987</v>
      </c>
      <c r="Z25" s="3" t="s">
        <v>40</v>
      </c>
      <c r="AA25" s="3" t="s">
        <v>40</v>
      </c>
      <c r="AB25" s="3" t="s">
        <v>40</v>
      </c>
      <c r="AC25" s="3" t="s">
        <v>40</v>
      </c>
      <c r="AD25" s="16">
        <v>174795</v>
      </c>
      <c r="AE25" s="3" t="s">
        <v>40</v>
      </c>
      <c r="AF25" s="3" t="s">
        <v>40</v>
      </c>
      <c r="AG25" s="3" t="s">
        <v>40</v>
      </c>
      <c r="AH25" s="3" t="s">
        <v>40</v>
      </c>
      <c r="AI25" s="16">
        <v>178471</v>
      </c>
    </row>
    <row r="26" spans="1:300">
      <c r="A26" s="4" t="s">
        <v>1</v>
      </c>
      <c r="B26" s="4" t="s">
        <v>102</v>
      </c>
      <c r="C26" s="4" t="s">
        <v>103</v>
      </c>
      <c r="D26" s="4" t="s">
        <v>104</v>
      </c>
      <c r="E26" s="3" t="s">
        <v>40</v>
      </c>
      <c r="F26" s="3" t="s">
        <v>40</v>
      </c>
      <c r="G26" s="3" t="s">
        <v>40</v>
      </c>
      <c r="H26" s="3" t="s">
        <v>40</v>
      </c>
      <c r="I26" s="16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16">
        <v>139222.68</v>
      </c>
      <c r="O26" s="3" t="s">
        <v>40</v>
      </c>
      <c r="P26" s="3" t="s">
        <v>40</v>
      </c>
      <c r="Q26" s="3" t="s">
        <v>40</v>
      </c>
      <c r="R26" s="3" t="s">
        <v>40</v>
      </c>
      <c r="S26" s="16">
        <v>147280</v>
      </c>
      <c r="T26" s="3" t="s">
        <v>40</v>
      </c>
      <c r="U26" s="3" t="s">
        <v>40</v>
      </c>
      <c r="V26" s="3" t="s">
        <v>40</v>
      </c>
      <c r="W26" s="18" t="s">
        <v>1</v>
      </c>
      <c r="X26" s="17" t="s">
        <v>40</v>
      </c>
      <c r="Y26" s="16">
        <v>162008.43</v>
      </c>
      <c r="Z26" s="3" t="s">
        <v>40</v>
      </c>
      <c r="AA26" s="3" t="s">
        <v>40</v>
      </c>
      <c r="AB26" s="3" t="s">
        <v>40</v>
      </c>
      <c r="AC26" s="3" t="s">
        <v>40</v>
      </c>
      <c r="AD26" s="16">
        <v>168549.52</v>
      </c>
      <c r="AE26" s="3" t="s">
        <v>40</v>
      </c>
      <c r="AF26" s="3" t="s">
        <v>40</v>
      </c>
      <c r="AG26" s="3" t="s">
        <v>40</v>
      </c>
      <c r="AH26" s="3" t="s">
        <v>40</v>
      </c>
      <c r="AI26" s="16">
        <v>168549.52</v>
      </c>
    </row>
    <row r="27" spans="1:300">
      <c r="A27" s="4" t="s">
        <v>1</v>
      </c>
      <c r="B27" s="4" t="s">
        <v>59</v>
      </c>
      <c r="C27" s="4" t="s">
        <v>59</v>
      </c>
      <c r="D27" s="4" t="s">
        <v>90</v>
      </c>
      <c r="E27" s="3">
        <v>34414.955000000002</v>
      </c>
      <c r="F27" s="3">
        <v>26703.4</v>
      </c>
      <c r="G27" s="3">
        <v>36297.15</v>
      </c>
      <c r="H27" s="3">
        <v>37202.788</v>
      </c>
      <c r="I27" s="16">
        <v>128394.788</v>
      </c>
      <c r="J27" s="3">
        <v>36038.998</v>
      </c>
      <c r="K27" s="3">
        <v>22671.358</v>
      </c>
      <c r="L27" s="3">
        <v>37537.375</v>
      </c>
      <c r="M27" s="3">
        <v>39590.817000000003</v>
      </c>
      <c r="N27" s="16">
        <v>138253.81700000001</v>
      </c>
      <c r="O27" s="3">
        <v>33492.512000000002</v>
      </c>
      <c r="P27" s="3">
        <v>36179.512000000002</v>
      </c>
      <c r="Q27" s="3">
        <v>36960.58</v>
      </c>
      <c r="R27" s="3">
        <v>42082.92</v>
      </c>
      <c r="S27" s="16">
        <v>156140.92000000001</v>
      </c>
      <c r="T27" s="3">
        <v>40022.105000000003</v>
      </c>
      <c r="U27" s="3">
        <v>43194.775000000001</v>
      </c>
      <c r="V27" s="3">
        <v>43701.142</v>
      </c>
      <c r="W27" s="18" t="s">
        <v>1</v>
      </c>
      <c r="X27" s="17">
        <v>40634.086000000003</v>
      </c>
      <c r="Y27" s="16">
        <v>170863.08600000001</v>
      </c>
      <c r="Z27" s="3">
        <v>43737.252</v>
      </c>
      <c r="AA27" s="3">
        <v>44789.523999999998</v>
      </c>
      <c r="AB27" s="3">
        <v>43911.855000000003</v>
      </c>
      <c r="AC27" s="3" t="s">
        <v>40</v>
      </c>
      <c r="AD27" s="16">
        <v>179018.65400000001</v>
      </c>
      <c r="AE27" s="3" t="s">
        <v>40</v>
      </c>
      <c r="AF27" s="3" t="s">
        <v>40</v>
      </c>
      <c r="AG27" s="3" t="s">
        <v>40</v>
      </c>
      <c r="AH27" s="3" t="s">
        <v>40</v>
      </c>
      <c r="AI27" s="16">
        <v>191453.524</v>
      </c>
    </row>
    <row r="28" spans="1:300">
      <c r="A28" s="4" t="s">
        <v>1</v>
      </c>
      <c r="B28" s="4" t="s">
        <v>59</v>
      </c>
      <c r="C28" s="4" t="s">
        <v>59</v>
      </c>
      <c r="D28" s="4" t="s">
        <v>71</v>
      </c>
      <c r="E28" s="3" t="s">
        <v>40</v>
      </c>
      <c r="F28" s="3" t="s">
        <v>40</v>
      </c>
      <c r="G28" s="3" t="s">
        <v>40</v>
      </c>
      <c r="H28" s="3" t="s">
        <v>40</v>
      </c>
      <c r="I28" s="16">
        <v>130133.959</v>
      </c>
      <c r="J28" s="3" t="s">
        <v>40</v>
      </c>
      <c r="K28" s="3" t="s">
        <v>40</v>
      </c>
      <c r="L28" s="3" t="s">
        <v>40</v>
      </c>
      <c r="M28" s="3" t="s">
        <v>40</v>
      </c>
      <c r="N28" s="16">
        <v>134435.84599999999</v>
      </c>
      <c r="O28" s="3" t="s">
        <v>40</v>
      </c>
      <c r="P28" s="3" t="s">
        <v>40</v>
      </c>
      <c r="Q28" s="3" t="s">
        <v>40</v>
      </c>
      <c r="R28" s="3" t="s">
        <v>40</v>
      </c>
      <c r="S28" s="16">
        <v>159615.008</v>
      </c>
      <c r="T28" s="3" t="s">
        <v>40</v>
      </c>
      <c r="U28" s="3" t="s">
        <v>40</v>
      </c>
      <c r="V28" s="3" t="s">
        <v>40</v>
      </c>
      <c r="W28" s="18" t="s">
        <v>1</v>
      </c>
      <c r="X28" s="17" t="s">
        <v>40</v>
      </c>
      <c r="Y28" s="16">
        <v>172736.36300000001</v>
      </c>
      <c r="Z28" s="3" t="s">
        <v>40</v>
      </c>
      <c r="AA28" s="3" t="s">
        <v>40</v>
      </c>
      <c r="AB28" s="3" t="s">
        <v>40</v>
      </c>
      <c r="AC28" s="3" t="s">
        <v>40</v>
      </c>
      <c r="AD28" s="16">
        <v>175015.89799999999</v>
      </c>
      <c r="AE28" s="3" t="s">
        <v>40</v>
      </c>
      <c r="AF28" s="3" t="s">
        <v>40</v>
      </c>
      <c r="AG28" s="3" t="s">
        <v>40</v>
      </c>
      <c r="AH28" s="3" t="s">
        <v>40</v>
      </c>
      <c r="AI28" s="16">
        <v>175080.70199999999</v>
      </c>
    </row>
    <row r="29" spans="1:300">
      <c r="A29" s="4" t="s">
        <v>1</v>
      </c>
      <c r="B29" s="4" t="s">
        <v>75</v>
      </c>
      <c r="C29" s="4" t="s">
        <v>76</v>
      </c>
      <c r="D29" s="4" t="s">
        <v>71</v>
      </c>
      <c r="E29" s="3">
        <v>34796</v>
      </c>
      <c r="F29" s="3">
        <v>14112</v>
      </c>
      <c r="G29" s="3">
        <v>30469</v>
      </c>
      <c r="H29" s="3">
        <v>31595</v>
      </c>
      <c r="I29" s="16">
        <v>114264</v>
      </c>
      <c r="J29" s="3">
        <v>36586</v>
      </c>
      <c r="K29" s="3">
        <v>22273</v>
      </c>
      <c r="L29" s="3">
        <v>36348</v>
      </c>
      <c r="M29" s="3">
        <v>40588</v>
      </c>
      <c r="N29" s="16">
        <v>131481</v>
      </c>
      <c r="O29" s="3">
        <v>34489</v>
      </c>
      <c r="P29" s="3">
        <v>32148</v>
      </c>
      <c r="Q29" s="3">
        <v>33796</v>
      </c>
      <c r="R29" s="3">
        <v>39159</v>
      </c>
      <c r="S29" s="16">
        <v>146373</v>
      </c>
      <c r="T29" s="3">
        <v>36925</v>
      </c>
      <c r="U29" s="3">
        <v>41288</v>
      </c>
      <c r="V29" s="3">
        <v>43258</v>
      </c>
      <c r="W29" s="18" t="s">
        <v>1</v>
      </c>
      <c r="X29" s="17">
        <v>39400</v>
      </c>
      <c r="Y29" s="16">
        <v>162079</v>
      </c>
      <c r="Z29" s="3" t="s">
        <v>40</v>
      </c>
      <c r="AA29" s="3" t="s">
        <v>40</v>
      </c>
      <c r="AB29" s="3" t="s">
        <v>40</v>
      </c>
      <c r="AC29" s="3" t="s">
        <v>40</v>
      </c>
      <c r="AD29" s="16">
        <v>169305</v>
      </c>
      <c r="AE29" s="3" t="s">
        <v>40</v>
      </c>
      <c r="AF29" s="3" t="s">
        <v>40</v>
      </c>
      <c r="AG29" s="3" t="s">
        <v>40</v>
      </c>
      <c r="AH29" s="3" t="s">
        <v>40</v>
      </c>
      <c r="AI29" s="16">
        <v>175174</v>
      </c>
    </row>
    <row r="30" spans="1:300">
      <c r="A30" s="4" t="s">
        <v>1</v>
      </c>
      <c r="B30" s="4" t="s">
        <v>59</v>
      </c>
      <c r="C30" s="4" t="s">
        <v>59</v>
      </c>
      <c r="D30" s="4" t="s">
        <v>71</v>
      </c>
      <c r="E30" s="3" t="s">
        <v>40</v>
      </c>
      <c r="F30" s="3" t="s">
        <v>40</v>
      </c>
      <c r="G30" s="3" t="s">
        <v>40</v>
      </c>
      <c r="H30" s="3" t="s">
        <v>40</v>
      </c>
      <c r="I30" s="16">
        <v>121722</v>
      </c>
      <c r="J30" s="3" t="s">
        <v>40</v>
      </c>
      <c r="K30" s="3" t="s">
        <v>40</v>
      </c>
      <c r="L30" s="3" t="s">
        <v>40</v>
      </c>
      <c r="M30" s="3" t="s">
        <v>40</v>
      </c>
      <c r="N30" s="16">
        <v>130189</v>
      </c>
      <c r="O30" s="3" t="s">
        <v>40</v>
      </c>
      <c r="P30" s="3" t="s">
        <v>40</v>
      </c>
      <c r="Q30" s="3" t="s">
        <v>40</v>
      </c>
      <c r="R30" s="3" t="s">
        <v>40</v>
      </c>
      <c r="S30" s="16">
        <v>142367</v>
      </c>
      <c r="T30" s="3" t="s">
        <v>40</v>
      </c>
      <c r="U30" s="3" t="s">
        <v>40</v>
      </c>
      <c r="V30" s="3" t="s">
        <v>40</v>
      </c>
      <c r="W30" s="18" t="s">
        <v>1</v>
      </c>
      <c r="X30" s="17" t="s">
        <v>40</v>
      </c>
      <c r="Y30" s="16">
        <v>166518</v>
      </c>
      <c r="Z30" s="3" t="s">
        <v>40</v>
      </c>
      <c r="AA30" s="3" t="s">
        <v>40</v>
      </c>
      <c r="AB30" s="3" t="s">
        <v>40</v>
      </c>
      <c r="AC30" s="3" t="s">
        <v>40</v>
      </c>
      <c r="AD30" s="16">
        <v>172656</v>
      </c>
      <c r="AE30" s="3" t="s">
        <v>40</v>
      </c>
      <c r="AF30" s="3" t="s">
        <v>40</v>
      </c>
      <c r="AG30" s="3" t="s">
        <v>40</v>
      </c>
      <c r="AH30" s="3" t="s">
        <v>40</v>
      </c>
      <c r="AI30" s="16" t="s">
        <v>40</v>
      </c>
    </row>
    <row r="31" spans="1:300">
      <c r="A31" s="4" t="s">
        <v>1</v>
      </c>
      <c r="B31" s="4" t="s">
        <v>82</v>
      </c>
      <c r="C31" s="4" t="s">
        <v>83</v>
      </c>
      <c r="D31" s="4" t="s">
        <v>71</v>
      </c>
      <c r="E31" s="3">
        <v>30650</v>
      </c>
      <c r="F31" s="3">
        <v>20650</v>
      </c>
      <c r="G31" s="3">
        <v>33025</v>
      </c>
      <c r="H31" s="3">
        <v>37601</v>
      </c>
      <c r="I31" s="16">
        <v>120270</v>
      </c>
      <c r="J31" s="3">
        <v>36350</v>
      </c>
      <c r="K31" s="3">
        <v>28350</v>
      </c>
      <c r="L31" s="3">
        <v>40050</v>
      </c>
      <c r="M31" s="3">
        <v>38467</v>
      </c>
      <c r="N31" s="16">
        <v>129360</v>
      </c>
      <c r="O31" s="3">
        <v>33450</v>
      </c>
      <c r="P31" s="3">
        <v>34825</v>
      </c>
      <c r="Q31" s="3">
        <v>35850</v>
      </c>
      <c r="R31" s="3">
        <v>42615</v>
      </c>
      <c r="S31" s="16">
        <v>149829</v>
      </c>
      <c r="T31" s="3">
        <v>37200</v>
      </c>
      <c r="U31" s="3">
        <v>42500</v>
      </c>
      <c r="V31" s="3">
        <v>44030</v>
      </c>
      <c r="W31" s="18" t="s">
        <v>1</v>
      </c>
      <c r="X31" s="17">
        <v>41312</v>
      </c>
      <c r="Y31" s="16">
        <v>164000</v>
      </c>
      <c r="Z31" s="3">
        <v>45625</v>
      </c>
      <c r="AA31" s="3">
        <v>48825</v>
      </c>
      <c r="AB31" s="3">
        <v>47625</v>
      </c>
      <c r="AC31" s="3">
        <v>49225</v>
      </c>
      <c r="AD31" s="16">
        <v>191300</v>
      </c>
      <c r="AE31" s="3" t="s">
        <v>40</v>
      </c>
      <c r="AF31" s="3" t="s">
        <v>40</v>
      </c>
      <c r="AG31" s="3" t="s">
        <v>40</v>
      </c>
      <c r="AH31" s="3" t="s">
        <v>40</v>
      </c>
      <c r="AI31" s="16" t="s">
        <v>40</v>
      </c>
    </row>
    <row r="32" spans="1:300">
      <c r="A32" s="4" t="s">
        <v>1</v>
      </c>
      <c r="B32" s="4" t="s">
        <v>164</v>
      </c>
      <c r="C32" s="4" t="s">
        <v>40</v>
      </c>
      <c r="D32" s="4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16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16">
        <v>128678</v>
      </c>
      <c r="O32" s="3" t="s">
        <v>40</v>
      </c>
      <c r="P32" s="3" t="s">
        <v>40</v>
      </c>
      <c r="Q32" s="3" t="s">
        <v>40</v>
      </c>
      <c r="R32" s="3" t="s">
        <v>40</v>
      </c>
      <c r="S32" s="16">
        <v>148155</v>
      </c>
      <c r="T32" s="3" t="s">
        <v>40</v>
      </c>
      <c r="U32" s="3" t="s">
        <v>40</v>
      </c>
      <c r="V32" s="3" t="s">
        <v>40</v>
      </c>
      <c r="W32" s="18" t="s">
        <v>1</v>
      </c>
      <c r="X32" s="17" t="s">
        <v>40</v>
      </c>
      <c r="Y32" s="16" t="s">
        <v>40</v>
      </c>
      <c r="Z32" s="3" t="s">
        <v>40</v>
      </c>
      <c r="AA32" s="3" t="s">
        <v>40</v>
      </c>
      <c r="AB32" s="3" t="s">
        <v>40</v>
      </c>
      <c r="AC32" s="3" t="s">
        <v>40</v>
      </c>
      <c r="AD32" s="16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16" t="s">
        <v>40</v>
      </c>
    </row>
    <row r="33" spans="1:35">
      <c r="A33" s="4" t="s">
        <v>1</v>
      </c>
      <c r="B33" s="4" t="s">
        <v>59</v>
      </c>
      <c r="C33" s="4" t="s">
        <v>40</v>
      </c>
      <c r="D33" s="4" t="s">
        <v>40</v>
      </c>
      <c r="E33" s="3">
        <v>35663</v>
      </c>
      <c r="F33" s="3">
        <v>13226</v>
      </c>
      <c r="G33" s="3">
        <v>32004</v>
      </c>
      <c r="H33" s="3">
        <v>36623</v>
      </c>
      <c r="I33" s="16">
        <v>118163</v>
      </c>
      <c r="J33" s="3">
        <v>32107</v>
      </c>
      <c r="K33" s="3">
        <v>20914</v>
      </c>
      <c r="L33" s="3">
        <v>32699</v>
      </c>
      <c r="M33" s="3">
        <v>35946</v>
      </c>
      <c r="N33" s="16">
        <v>126846</v>
      </c>
      <c r="O33" s="3">
        <v>32960</v>
      </c>
      <c r="P33" s="3">
        <v>33855</v>
      </c>
      <c r="Q33" s="3">
        <v>38513</v>
      </c>
      <c r="R33" s="3">
        <v>42538</v>
      </c>
      <c r="S33" s="16">
        <v>149832</v>
      </c>
      <c r="T33" s="3">
        <v>36660</v>
      </c>
      <c r="U33" s="3">
        <v>37334</v>
      </c>
      <c r="V33" s="3" t="s">
        <v>40</v>
      </c>
      <c r="W33" s="18" t="s">
        <v>1</v>
      </c>
      <c r="X33" s="17" t="s">
        <v>40</v>
      </c>
      <c r="Y33" s="16" t="s">
        <v>40</v>
      </c>
      <c r="Z33" s="3" t="s">
        <v>40</v>
      </c>
      <c r="AA33" s="3" t="s">
        <v>40</v>
      </c>
      <c r="AB33" s="3" t="s">
        <v>40</v>
      </c>
      <c r="AC33" s="3" t="s">
        <v>40</v>
      </c>
      <c r="AD33" s="16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16" t="s">
        <v>40</v>
      </c>
    </row>
    <row r="34" spans="1:35">
      <c r="A34" s="4" t="s">
        <v>1</v>
      </c>
      <c r="B34" s="4" t="s">
        <v>59</v>
      </c>
      <c r="C34" s="4" t="s">
        <v>59</v>
      </c>
      <c r="D34" s="4" t="s">
        <v>65</v>
      </c>
      <c r="E34" s="3">
        <v>30843</v>
      </c>
      <c r="F34" s="3">
        <v>14367.8</v>
      </c>
      <c r="G34" s="3">
        <v>33022.9</v>
      </c>
      <c r="H34" s="3">
        <v>31510.5</v>
      </c>
      <c r="I34" s="16">
        <v>114104.6</v>
      </c>
      <c r="J34" s="3">
        <v>30844.3</v>
      </c>
      <c r="K34" s="3">
        <v>21229</v>
      </c>
      <c r="L34" s="3">
        <v>29409.200000000001</v>
      </c>
      <c r="M34" s="3">
        <v>35572.300000000003</v>
      </c>
      <c r="N34" s="16">
        <v>126464.3</v>
      </c>
      <c r="O34" s="3">
        <v>30543.599999999999</v>
      </c>
      <c r="P34" s="3">
        <v>35401.9</v>
      </c>
      <c r="Q34" s="3">
        <v>37515.199999999997</v>
      </c>
      <c r="R34" s="3">
        <v>39045.4</v>
      </c>
      <c r="S34" s="16">
        <v>146270.39999999999</v>
      </c>
      <c r="T34" s="3">
        <v>38490.199999999997</v>
      </c>
      <c r="U34" s="3">
        <v>42051.8</v>
      </c>
      <c r="V34" s="3">
        <v>42773</v>
      </c>
      <c r="W34" s="18" t="s">
        <v>1</v>
      </c>
      <c r="X34" s="17">
        <v>39397.5</v>
      </c>
      <c r="Y34" s="16">
        <v>162080.5</v>
      </c>
      <c r="Z34" s="3" t="s">
        <v>40</v>
      </c>
      <c r="AA34" s="3" t="s">
        <v>40</v>
      </c>
      <c r="AB34" s="3" t="s">
        <v>40</v>
      </c>
      <c r="AC34" s="3" t="s">
        <v>40</v>
      </c>
      <c r="AD34" s="16">
        <v>173473.4</v>
      </c>
      <c r="AE34" s="3" t="s">
        <v>40</v>
      </c>
      <c r="AF34" s="3" t="s">
        <v>40</v>
      </c>
      <c r="AG34" s="3" t="s">
        <v>40</v>
      </c>
      <c r="AH34" s="3" t="s">
        <v>40</v>
      </c>
      <c r="AI34" s="16">
        <v>173344.9</v>
      </c>
    </row>
    <row r="35" spans="1:35">
      <c r="A35" s="4" t="s">
        <v>1</v>
      </c>
      <c r="B35" s="4" t="s">
        <v>59</v>
      </c>
      <c r="C35" s="4" t="s">
        <v>59</v>
      </c>
      <c r="D35" s="4" t="s">
        <v>71</v>
      </c>
      <c r="E35" s="3" t="s">
        <v>40</v>
      </c>
      <c r="F35" s="3" t="s">
        <v>40</v>
      </c>
      <c r="G35" s="3" t="s">
        <v>40</v>
      </c>
      <c r="H35" s="3" t="s">
        <v>40</v>
      </c>
      <c r="I35" s="16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16">
        <v>126167.05</v>
      </c>
      <c r="O35" s="3" t="s">
        <v>40</v>
      </c>
      <c r="P35" s="3" t="s">
        <v>40</v>
      </c>
      <c r="Q35" s="3" t="s">
        <v>40</v>
      </c>
      <c r="R35" s="3" t="s">
        <v>40</v>
      </c>
      <c r="S35" s="16">
        <v>143310.20000000001</v>
      </c>
      <c r="T35" s="3" t="s">
        <v>40</v>
      </c>
      <c r="U35" s="3" t="s">
        <v>40</v>
      </c>
      <c r="V35" s="3" t="s">
        <v>40</v>
      </c>
      <c r="W35" s="18" t="s">
        <v>1</v>
      </c>
      <c r="X35" s="17" t="s">
        <v>40</v>
      </c>
      <c r="Y35" s="16">
        <v>165410.79999999999</v>
      </c>
      <c r="Z35" s="3" t="s">
        <v>40</v>
      </c>
      <c r="AA35" s="3" t="s">
        <v>40</v>
      </c>
      <c r="AB35" s="3" t="s">
        <v>40</v>
      </c>
      <c r="AC35" s="3" t="s">
        <v>40</v>
      </c>
      <c r="AD35" s="16">
        <v>175277.3</v>
      </c>
      <c r="AE35" s="3" t="s">
        <v>40</v>
      </c>
      <c r="AF35" s="3" t="s">
        <v>40</v>
      </c>
      <c r="AG35" s="3" t="s">
        <v>40</v>
      </c>
      <c r="AH35" s="3" t="s">
        <v>40</v>
      </c>
      <c r="AI35" s="16">
        <v>183085.8</v>
      </c>
    </row>
    <row r="36" spans="1:35">
      <c r="A36" s="4" t="s">
        <v>1</v>
      </c>
      <c r="B36" s="4" t="s">
        <v>59</v>
      </c>
      <c r="C36" s="4" t="s">
        <v>59</v>
      </c>
      <c r="D36" s="4" t="s">
        <v>65</v>
      </c>
      <c r="E36" s="3">
        <v>33327</v>
      </c>
      <c r="F36" s="3">
        <v>12550.2</v>
      </c>
      <c r="G36" s="3">
        <v>34019</v>
      </c>
      <c r="H36" s="3">
        <v>33184.5</v>
      </c>
      <c r="I36" s="16">
        <v>115853.5</v>
      </c>
      <c r="J36" s="3">
        <v>28886</v>
      </c>
      <c r="K36" s="3">
        <v>21961</v>
      </c>
      <c r="L36" s="3">
        <v>30326.6</v>
      </c>
      <c r="M36" s="3">
        <v>35201.9</v>
      </c>
      <c r="N36" s="16">
        <v>126095</v>
      </c>
      <c r="O36" s="3">
        <v>30240.7</v>
      </c>
      <c r="P36" s="3">
        <v>36552.9</v>
      </c>
      <c r="Q36" s="3">
        <v>35842.1</v>
      </c>
      <c r="R36" s="3">
        <v>42226.3</v>
      </c>
      <c r="S36" s="16">
        <v>149440.29688000001</v>
      </c>
      <c r="T36" s="3">
        <v>35900</v>
      </c>
      <c r="U36" s="3">
        <v>39736.300000000003</v>
      </c>
      <c r="V36" s="3">
        <v>42464</v>
      </c>
      <c r="W36" s="18" t="s">
        <v>1</v>
      </c>
      <c r="X36" s="17">
        <v>45508</v>
      </c>
      <c r="Y36" s="16">
        <v>168195.7</v>
      </c>
      <c r="Z36" s="3">
        <v>41580</v>
      </c>
      <c r="AA36" s="3">
        <v>45191</v>
      </c>
      <c r="AB36" s="3">
        <v>40674</v>
      </c>
      <c r="AC36" s="3">
        <v>44355</v>
      </c>
      <c r="AD36" s="16">
        <v>171800.5</v>
      </c>
      <c r="AE36" s="3" t="s">
        <v>40</v>
      </c>
      <c r="AF36" s="3" t="s">
        <v>40</v>
      </c>
      <c r="AG36" s="3" t="s">
        <v>40</v>
      </c>
      <c r="AH36" s="3" t="s">
        <v>40</v>
      </c>
      <c r="AI36" s="16">
        <v>173634</v>
      </c>
    </row>
    <row r="37" spans="1:35">
      <c r="A37" s="4" t="s">
        <v>1</v>
      </c>
      <c r="B37" s="4" t="s">
        <v>165</v>
      </c>
      <c r="C37" s="4" t="s">
        <v>40</v>
      </c>
      <c r="D37" s="4" t="s">
        <v>40</v>
      </c>
      <c r="E37" s="3">
        <v>31111.249</v>
      </c>
      <c r="F37" s="3">
        <v>14968.656999999999</v>
      </c>
      <c r="G37" s="3">
        <v>34522.728000000003</v>
      </c>
      <c r="H37" s="3">
        <v>33304.99</v>
      </c>
      <c r="I37" s="16">
        <v>116016.99</v>
      </c>
      <c r="J37" s="3">
        <v>30293.956999999999</v>
      </c>
      <c r="K37" s="3">
        <v>25187.752</v>
      </c>
      <c r="L37" s="3">
        <v>33452.923000000003</v>
      </c>
      <c r="M37" s="3">
        <v>34638.81</v>
      </c>
      <c r="N37" s="16">
        <v>125601.81</v>
      </c>
      <c r="O37" s="3">
        <v>30154.137999999999</v>
      </c>
      <c r="P37" s="3" t="s">
        <v>40</v>
      </c>
      <c r="Q37" s="3" t="s">
        <v>40</v>
      </c>
      <c r="R37" s="3" t="s">
        <v>40</v>
      </c>
      <c r="S37" s="16" t="s">
        <v>40</v>
      </c>
      <c r="T37" s="3" t="s">
        <v>40</v>
      </c>
      <c r="U37" s="3" t="s">
        <v>40</v>
      </c>
      <c r="V37" s="3" t="s">
        <v>40</v>
      </c>
      <c r="W37" s="18" t="s">
        <v>1</v>
      </c>
      <c r="X37" s="17" t="s">
        <v>40</v>
      </c>
      <c r="Y37" s="16" t="s">
        <v>40</v>
      </c>
      <c r="Z37" s="3" t="s">
        <v>40</v>
      </c>
      <c r="AA37" s="3" t="s">
        <v>40</v>
      </c>
      <c r="AB37" s="3" t="s">
        <v>40</v>
      </c>
      <c r="AC37" s="3" t="s">
        <v>40</v>
      </c>
      <c r="AD37" s="16" t="s">
        <v>40</v>
      </c>
      <c r="AE37" s="3" t="s">
        <v>40</v>
      </c>
      <c r="AF37" s="3" t="s">
        <v>40</v>
      </c>
      <c r="AG37" s="3" t="s">
        <v>40</v>
      </c>
      <c r="AH37" s="3" t="s">
        <v>40</v>
      </c>
      <c r="AI37" s="16" t="s">
        <v>40</v>
      </c>
    </row>
    <row r="38" spans="1:35">
      <c r="A38" s="4" t="s">
        <v>1</v>
      </c>
      <c r="B38" s="4" t="s">
        <v>59</v>
      </c>
      <c r="C38" s="4" t="s">
        <v>59</v>
      </c>
      <c r="D38" s="4" t="s">
        <v>60</v>
      </c>
      <c r="E38" s="3">
        <v>32698</v>
      </c>
      <c r="F38" s="3">
        <v>12814</v>
      </c>
      <c r="G38" s="3">
        <v>34868</v>
      </c>
      <c r="H38" s="3">
        <v>34264</v>
      </c>
      <c r="I38" s="16">
        <v>116933</v>
      </c>
      <c r="J38" s="3">
        <v>30677</v>
      </c>
      <c r="K38" s="3">
        <v>21768</v>
      </c>
      <c r="L38" s="3">
        <v>34057</v>
      </c>
      <c r="M38" s="3">
        <v>34463</v>
      </c>
      <c r="N38" s="16">
        <v>125356</v>
      </c>
      <c r="O38" s="3">
        <v>30893</v>
      </c>
      <c r="P38" s="3">
        <v>32930</v>
      </c>
      <c r="Q38" s="3">
        <v>38437</v>
      </c>
      <c r="R38" s="3">
        <v>37607</v>
      </c>
      <c r="S38" s="16">
        <v>144821</v>
      </c>
      <c r="T38" s="3">
        <v>37109</v>
      </c>
      <c r="U38" s="3">
        <v>38707</v>
      </c>
      <c r="V38" s="3">
        <v>36872</v>
      </c>
      <c r="W38" s="18" t="s">
        <v>1</v>
      </c>
      <c r="X38" s="17">
        <v>31238</v>
      </c>
      <c r="Y38" s="16">
        <v>153926</v>
      </c>
      <c r="Z38" s="3">
        <v>38581</v>
      </c>
      <c r="AA38" s="3">
        <v>38149</v>
      </c>
      <c r="AB38" s="3">
        <v>35586</v>
      </c>
      <c r="AC38" s="3">
        <v>33070</v>
      </c>
      <c r="AD38" s="16">
        <v>145386</v>
      </c>
      <c r="AE38" s="3">
        <v>36178</v>
      </c>
      <c r="AF38" s="3">
        <v>34052</v>
      </c>
      <c r="AG38" s="3">
        <v>29562</v>
      </c>
      <c r="AH38" s="3">
        <v>30587</v>
      </c>
      <c r="AI38" s="16">
        <v>130380</v>
      </c>
    </row>
    <row r="39" spans="1:35">
      <c r="A39" s="4" t="s">
        <v>1</v>
      </c>
      <c r="B39" s="4" t="s">
        <v>69</v>
      </c>
      <c r="C39" s="4" t="s">
        <v>70</v>
      </c>
      <c r="D39" s="4" t="s">
        <v>71</v>
      </c>
      <c r="E39" s="3" t="s">
        <v>40</v>
      </c>
      <c r="F39" s="3" t="s">
        <v>40</v>
      </c>
      <c r="G39" s="3" t="s">
        <v>40</v>
      </c>
      <c r="H39" s="3" t="s">
        <v>40</v>
      </c>
      <c r="I39" s="16">
        <v>121798</v>
      </c>
      <c r="J39" s="3" t="s">
        <v>40</v>
      </c>
      <c r="K39" s="3" t="s">
        <v>40</v>
      </c>
      <c r="L39" s="3" t="s">
        <v>40</v>
      </c>
      <c r="M39" s="3" t="s">
        <v>40</v>
      </c>
      <c r="N39" s="16">
        <v>124514</v>
      </c>
      <c r="O39" s="3" t="s">
        <v>40</v>
      </c>
      <c r="P39" s="3" t="s">
        <v>40</v>
      </c>
      <c r="Q39" s="3" t="s">
        <v>40</v>
      </c>
      <c r="R39" s="3" t="s">
        <v>40</v>
      </c>
      <c r="S39" s="16">
        <v>144951</v>
      </c>
      <c r="T39" s="3" t="s">
        <v>40</v>
      </c>
      <c r="U39" s="3" t="s">
        <v>40</v>
      </c>
      <c r="V39" s="3" t="s">
        <v>40</v>
      </c>
      <c r="W39" s="18" t="s">
        <v>1</v>
      </c>
      <c r="X39" s="17" t="s">
        <v>40</v>
      </c>
      <c r="Y39" s="16">
        <v>164263</v>
      </c>
      <c r="Z39" s="3" t="s">
        <v>40</v>
      </c>
      <c r="AA39" s="3" t="s">
        <v>40</v>
      </c>
      <c r="AB39" s="3" t="s">
        <v>40</v>
      </c>
      <c r="AC39" s="3" t="s">
        <v>40</v>
      </c>
      <c r="AD39" s="16">
        <v>171758</v>
      </c>
      <c r="AE39" s="3" t="s">
        <v>40</v>
      </c>
      <c r="AF39" s="3" t="s">
        <v>40</v>
      </c>
      <c r="AG39" s="3" t="s">
        <v>40</v>
      </c>
      <c r="AH39" s="3" t="s">
        <v>40</v>
      </c>
      <c r="AI39" s="16">
        <v>161792</v>
      </c>
    </row>
    <row r="40" spans="1:35">
      <c r="A40" s="4" t="s">
        <v>1</v>
      </c>
      <c r="B40" s="4" t="s">
        <v>59</v>
      </c>
      <c r="C40" s="4" t="s">
        <v>59</v>
      </c>
      <c r="D40" s="4" t="s">
        <v>71</v>
      </c>
      <c r="E40" s="3">
        <v>30160.9</v>
      </c>
      <c r="F40" s="3">
        <v>14036</v>
      </c>
      <c r="G40" s="3">
        <v>34981.550000000003</v>
      </c>
      <c r="H40" s="3">
        <v>34040.75</v>
      </c>
      <c r="I40" s="16">
        <v>116752.75</v>
      </c>
      <c r="J40" s="3">
        <v>29952.5</v>
      </c>
      <c r="K40" s="3">
        <v>23285.25</v>
      </c>
      <c r="L40" s="3">
        <v>27334.959999999999</v>
      </c>
      <c r="M40" s="3">
        <v>33543.14</v>
      </c>
      <c r="N40" s="16">
        <v>124506.14</v>
      </c>
      <c r="O40" s="3">
        <v>29147.13</v>
      </c>
      <c r="P40" s="3">
        <v>32920.31</v>
      </c>
      <c r="Q40" s="3">
        <v>32178.1</v>
      </c>
      <c r="R40" s="3">
        <v>39722.629999999997</v>
      </c>
      <c r="S40" s="16">
        <v>147056.63</v>
      </c>
      <c r="T40" s="3">
        <v>32568.13</v>
      </c>
      <c r="U40" s="3">
        <v>37446.129999999997</v>
      </c>
      <c r="V40" s="3">
        <v>39616.99</v>
      </c>
      <c r="W40" s="18" t="s">
        <v>1</v>
      </c>
      <c r="X40" s="17">
        <v>40261.699999999997</v>
      </c>
      <c r="Y40" s="16">
        <v>162949.70000000001</v>
      </c>
      <c r="Z40" s="3" t="s">
        <v>40</v>
      </c>
      <c r="AA40" s="3" t="s">
        <v>40</v>
      </c>
      <c r="AB40" s="3" t="s">
        <v>40</v>
      </c>
      <c r="AC40" s="3" t="s">
        <v>40</v>
      </c>
      <c r="AD40" s="16">
        <v>169060.46</v>
      </c>
      <c r="AE40" s="3" t="s">
        <v>40</v>
      </c>
      <c r="AF40" s="3" t="s">
        <v>40</v>
      </c>
      <c r="AG40" s="3" t="s">
        <v>40</v>
      </c>
      <c r="AH40" s="3" t="s">
        <v>40</v>
      </c>
      <c r="AI40" s="16" t="s">
        <v>40</v>
      </c>
    </row>
    <row r="41" spans="1:35">
      <c r="A41" s="4" t="s">
        <v>1</v>
      </c>
      <c r="B41" s="4" t="s">
        <v>59</v>
      </c>
      <c r="C41" s="4" t="s">
        <v>59</v>
      </c>
      <c r="D41" s="4" t="s">
        <v>84</v>
      </c>
      <c r="E41" s="3">
        <v>30768</v>
      </c>
      <c r="F41" s="3">
        <v>10736</v>
      </c>
      <c r="G41" s="3">
        <v>31907</v>
      </c>
      <c r="H41" s="3">
        <v>29100</v>
      </c>
      <c r="I41" s="16">
        <v>114433</v>
      </c>
      <c r="J41" s="3">
        <v>30894</v>
      </c>
      <c r="K41" s="3">
        <v>24403</v>
      </c>
      <c r="L41" s="3" t="s">
        <v>40</v>
      </c>
      <c r="M41" s="3" t="s">
        <v>40</v>
      </c>
      <c r="N41" s="16">
        <v>122872</v>
      </c>
      <c r="O41" s="3">
        <v>29983</v>
      </c>
      <c r="P41" s="3" t="s">
        <v>40</v>
      </c>
      <c r="Q41" s="3" t="s">
        <v>40</v>
      </c>
      <c r="R41" s="3" t="s">
        <v>40</v>
      </c>
      <c r="S41" s="16" t="s">
        <v>40</v>
      </c>
      <c r="T41" s="3">
        <v>33909</v>
      </c>
      <c r="U41" s="3">
        <v>40165</v>
      </c>
      <c r="V41" s="3">
        <v>41711</v>
      </c>
      <c r="W41" s="18" t="s">
        <v>1</v>
      </c>
      <c r="X41" s="17">
        <v>38616</v>
      </c>
      <c r="Y41" s="16">
        <v>161305</v>
      </c>
      <c r="Z41" s="3" t="s">
        <v>40</v>
      </c>
      <c r="AA41" s="3" t="s">
        <v>40</v>
      </c>
      <c r="AB41" s="3" t="s">
        <v>40</v>
      </c>
      <c r="AC41" s="3" t="s">
        <v>40</v>
      </c>
      <c r="AD41" s="16">
        <v>165240</v>
      </c>
      <c r="AE41" s="3" t="s">
        <v>40</v>
      </c>
      <c r="AF41" s="3" t="s">
        <v>40</v>
      </c>
      <c r="AG41" s="3" t="s">
        <v>40</v>
      </c>
      <c r="AH41" s="3" t="s">
        <v>40</v>
      </c>
      <c r="AI41" s="16">
        <v>162500</v>
      </c>
    </row>
    <row r="42" spans="1:35">
      <c r="A42" s="4" t="s">
        <v>1</v>
      </c>
      <c r="B42" s="4" t="s">
        <v>59</v>
      </c>
      <c r="C42" s="4" t="s">
        <v>59</v>
      </c>
      <c r="D42" s="4" t="s">
        <v>65</v>
      </c>
      <c r="E42" s="3" t="s">
        <v>40</v>
      </c>
      <c r="F42" s="3">
        <v>18019</v>
      </c>
      <c r="G42" s="3" t="s">
        <v>40</v>
      </c>
      <c r="H42" s="3">
        <v>33418</v>
      </c>
      <c r="I42" s="16">
        <v>116086</v>
      </c>
      <c r="J42" s="3">
        <v>31865</v>
      </c>
      <c r="K42" s="3" t="s">
        <v>40</v>
      </c>
      <c r="L42" s="3" t="s">
        <v>40</v>
      </c>
      <c r="M42" s="3" t="s">
        <v>40</v>
      </c>
      <c r="N42" s="16">
        <v>122585</v>
      </c>
      <c r="O42" s="3">
        <v>28736</v>
      </c>
      <c r="P42" s="3">
        <v>29524</v>
      </c>
      <c r="Q42" s="3" t="s">
        <v>40</v>
      </c>
      <c r="R42" s="3">
        <v>41351</v>
      </c>
      <c r="S42" s="16">
        <v>146341</v>
      </c>
      <c r="T42" s="3">
        <v>35348</v>
      </c>
      <c r="U42" s="3" t="s">
        <v>40</v>
      </c>
      <c r="V42" s="3">
        <v>41180</v>
      </c>
      <c r="W42" s="18" t="s">
        <v>1</v>
      </c>
      <c r="X42" s="17" t="s">
        <v>40</v>
      </c>
      <c r="Y42" s="16">
        <v>167988</v>
      </c>
      <c r="Z42" s="3" t="s">
        <v>40</v>
      </c>
      <c r="AA42" s="3" t="s">
        <v>40</v>
      </c>
      <c r="AB42" s="3" t="s">
        <v>40</v>
      </c>
      <c r="AC42" s="3" t="s">
        <v>40</v>
      </c>
      <c r="AD42" s="16">
        <v>172199</v>
      </c>
      <c r="AE42" s="3" t="s">
        <v>40</v>
      </c>
      <c r="AF42" s="3" t="s">
        <v>40</v>
      </c>
      <c r="AG42" s="3" t="s">
        <v>40</v>
      </c>
      <c r="AH42" s="3" t="s">
        <v>40</v>
      </c>
      <c r="AI42" s="16">
        <v>181105</v>
      </c>
    </row>
    <row r="43" spans="1:35">
      <c r="A43" s="4" t="s">
        <v>1</v>
      </c>
      <c r="B43" s="4" t="s">
        <v>62</v>
      </c>
      <c r="C43" s="4" t="s">
        <v>63</v>
      </c>
      <c r="D43" s="4" t="s">
        <v>60</v>
      </c>
      <c r="E43" s="3" t="s">
        <v>40</v>
      </c>
      <c r="F43" s="3" t="s">
        <v>40</v>
      </c>
      <c r="G43" s="3" t="s">
        <v>40</v>
      </c>
      <c r="H43" s="3" t="s">
        <v>40</v>
      </c>
      <c r="I43" s="16" t="s">
        <v>40</v>
      </c>
      <c r="J43" s="3" t="s">
        <v>40</v>
      </c>
      <c r="K43" s="3" t="s">
        <v>40</v>
      </c>
      <c r="L43" s="3">
        <v>28658</v>
      </c>
      <c r="M43" s="3">
        <v>31274</v>
      </c>
      <c r="N43" s="16">
        <v>122237</v>
      </c>
      <c r="O43" s="3">
        <v>31806</v>
      </c>
      <c r="P43" s="3">
        <v>37697</v>
      </c>
      <c r="Q43" s="3">
        <v>35038</v>
      </c>
      <c r="R43" s="3">
        <v>40063</v>
      </c>
      <c r="S43" s="16">
        <v>147397</v>
      </c>
      <c r="T43" s="3">
        <v>36720</v>
      </c>
      <c r="U43" s="3">
        <v>41157</v>
      </c>
      <c r="V43" s="3">
        <v>39073</v>
      </c>
      <c r="W43" s="18" t="s">
        <v>1</v>
      </c>
      <c r="X43" s="17">
        <v>36954</v>
      </c>
      <c r="Y43" s="16">
        <v>159553.60000000001</v>
      </c>
      <c r="Z43" s="3" t="s">
        <v>40</v>
      </c>
      <c r="AA43" s="3" t="s">
        <v>40</v>
      </c>
      <c r="AB43" s="3" t="s">
        <v>40</v>
      </c>
      <c r="AC43" s="3" t="s">
        <v>40</v>
      </c>
      <c r="AD43" s="16">
        <v>181060.6</v>
      </c>
      <c r="AE43" s="3" t="s">
        <v>40</v>
      </c>
      <c r="AF43" s="3" t="s">
        <v>40</v>
      </c>
      <c r="AG43" s="3" t="s">
        <v>40</v>
      </c>
      <c r="AH43" s="3" t="s">
        <v>40</v>
      </c>
      <c r="AI43" s="16">
        <v>185871</v>
      </c>
    </row>
    <row r="44" spans="1:35">
      <c r="A44" s="4" t="s">
        <v>1</v>
      </c>
      <c r="B44" s="4" t="s">
        <v>93</v>
      </c>
      <c r="C44" s="4" t="s">
        <v>94</v>
      </c>
      <c r="D44" s="4" t="s">
        <v>90</v>
      </c>
      <c r="E44" s="3" t="s">
        <v>59</v>
      </c>
      <c r="F44" s="3" t="s">
        <v>59</v>
      </c>
      <c r="G44" s="3" t="s">
        <v>59</v>
      </c>
      <c r="H44" s="3" t="s">
        <v>59</v>
      </c>
      <c r="I44" s="16" t="s">
        <v>59</v>
      </c>
      <c r="J44" s="3" t="s">
        <v>59</v>
      </c>
      <c r="K44" s="3" t="s">
        <v>59</v>
      </c>
      <c r="L44" s="3" t="s">
        <v>59</v>
      </c>
      <c r="M44" s="3" t="s">
        <v>59</v>
      </c>
      <c r="N44" s="16" t="s">
        <v>59</v>
      </c>
      <c r="O44" s="3" t="s">
        <v>59</v>
      </c>
      <c r="P44" s="3" t="s">
        <v>59</v>
      </c>
      <c r="Q44" s="3" t="s">
        <v>59</v>
      </c>
      <c r="R44" s="3" t="s">
        <v>59</v>
      </c>
      <c r="S44" s="16" t="s">
        <v>59</v>
      </c>
      <c r="T44" s="3" t="s">
        <v>40</v>
      </c>
      <c r="U44" s="3" t="s">
        <v>40</v>
      </c>
      <c r="V44" s="3" t="s">
        <v>59</v>
      </c>
      <c r="W44" s="18" t="s">
        <v>1</v>
      </c>
      <c r="X44" s="17" t="s">
        <v>59</v>
      </c>
      <c r="Y44" s="16" t="s">
        <v>59</v>
      </c>
      <c r="Z44" s="3" t="s">
        <v>59</v>
      </c>
      <c r="AA44" s="3" t="s">
        <v>59</v>
      </c>
      <c r="AB44" s="3" t="s">
        <v>59</v>
      </c>
      <c r="AC44" s="3" t="s">
        <v>59</v>
      </c>
      <c r="AD44" s="16" t="s">
        <v>59</v>
      </c>
      <c r="AE44" s="3" t="s">
        <v>59</v>
      </c>
      <c r="AF44" s="3" t="s">
        <v>59</v>
      </c>
      <c r="AG44" s="3" t="s">
        <v>59</v>
      </c>
      <c r="AH44" s="3" t="s">
        <v>59</v>
      </c>
      <c r="AI44" s="16" t="s">
        <v>59</v>
      </c>
    </row>
    <row r="45" spans="1:35" ht="26.25">
      <c r="A45" s="4" t="s">
        <v>1</v>
      </c>
      <c r="B45" s="4" t="s">
        <v>166</v>
      </c>
      <c r="C45" s="4" t="s">
        <v>40</v>
      </c>
      <c r="D45" s="4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16" t="s">
        <v>40</v>
      </c>
      <c r="J45" s="3" t="s">
        <v>40</v>
      </c>
      <c r="K45" s="3">
        <v>33133</v>
      </c>
      <c r="L45" s="3">
        <v>33085</v>
      </c>
      <c r="M45" s="3" t="s">
        <v>40</v>
      </c>
      <c r="N45" s="16" t="s">
        <v>40</v>
      </c>
      <c r="O45" s="3" t="s">
        <v>40</v>
      </c>
      <c r="P45" s="3" t="s">
        <v>40</v>
      </c>
      <c r="Q45" s="3" t="s">
        <v>40</v>
      </c>
      <c r="R45" s="3" t="s">
        <v>40</v>
      </c>
      <c r="S45" s="16" t="s">
        <v>40</v>
      </c>
      <c r="T45" s="3" t="s">
        <v>40</v>
      </c>
      <c r="U45" s="3" t="s">
        <v>40</v>
      </c>
      <c r="V45" s="3" t="s">
        <v>40</v>
      </c>
      <c r="W45" s="18" t="s">
        <v>1</v>
      </c>
      <c r="X45" s="17" t="s">
        <v>40</v>
      </c>
      <c r="Y45" s="16" t="s">
        <v>40</v>
      </c>
      <c r="Z45" s="3" t="s">
        <v>40</v>
      </c>
      <c r="AA45" s="3" t="s">
        <v>40</v>
      </c>
      <c r="AB45" s="3" t="s">
        <v>40</v>
      </c>
      <c r="AC45" s="3" t="s">
        <v>40</v>
      </c>
      <c r="AD45" s="16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16" t="s">
        <v>40</v>
      </c>
    </row>
    <row r="46" spans="1:35">
      <c r="A46" s="4" t="s">
        <v>1</v>
      </c>
      <c r="B46" s="4" t="s">
        <v>59</v>
      </c>
      <c r="C46" s="4" t="s">
        <v>40</v>
      </c>
      <c r="D46" s="4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16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16" t="s">
        <v>40</v>
      </c>
      <c r="O46" s="3" t="s">
        <v>59</v>
      </c>
      <c r="P46" s="3" t="s">
        <v>40</v>
      </c>
      <c r="Q46" s="3" t="s">
        <v>40</v>
      </c>
      <c r="R46" s="3" t="s">
        <v>59</v>
      </c>
      <c r="S46" s="16" t="s">
        <v>59</v>
      </c>
      <c r="T46" s="3" t="s">
        <v>59</v>
      </c>
      <c r="U46" s="3" t="s">
        <v>59</v>
      </c>
      <c r="V46" s="3" t="s">
        <v>40</v>
      </c>
      <c r="W46" s="18" t="s">
        <v>1</v>
      </c>
      <c r="X46" s="17" t="s">
        <v>40</v>
      </c>
      <c r="Y46" s="16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16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16" t="s">
        <v>40</v>
      </c>
    </row>
    <row r="47" spans="1:35">
      <c r="A47" s="4" t="s">
        <v>1</v>
      </c>
      <c r="B47" s="4" t="s">
        <v>99</v>
      </c>
      <c r="C47" s="4" t="s">
        <v>100</v>
      </c>
      <c r="D47" s="4" t="s">
        <v>84</v>
      </c>
      <c r="E47" s="3" t="s">
        <v>40</v>
      </c>
      <c r="F47" s="3" t="s">
        <v>40</v>
      </c>
      <c r="G47" s="3" t="s">
        <v>40</v>
      </c>
      <c r="H47" s="3" t="s">
        <v>40</v>
      </c>
      <c r="I47" s="16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16" t="s">
        <v>40</v>
      </c>
      <c r="O47" s="3" t="s">
        <v>40</v>
      </c>
      <c r="P47" s="3">
        <v>37126</v>
      </c>
      <c r="Q47" s="3">
        <v>36336</v>
      </c>
      <c r="R47" s="3">
        <v>41929</v>
      </c>
      <c r="S47" s="16">
        <v>155987</v>
      </c>
      <c r="T47" s="3">
        <v>38812</v>
      </c>
      <c r="U47" s="3">
        <v>44214</v>
      </c>
      <c r="V47" s="3">
        <v>43042</v>
      </c>
      <c r="W47" s="18" t="s">
        <v>1</v>
      </c>
      <c r="X47" s="17">
        <v>41174</v>
      </c>
      <c r="Y47" s="16">
        <v>171403</v>
      </c>
      <c r="Z47" s="3">
        <v>43138</v>
      </c>
      <c r="AA47" s="3">
        <v>46210</v>
      </c>
      <c r="AB47" s="3">
        <v>46276</v>
      </c>
      <c r="AC47" s="3">
        <v>44109</v>
      </c>
      <c r="AD47" s="16">
        <v>179732</v>
      </c>
      <c r="AE47" s="3">
        <v>44492</v>
      </c>
      <c r="AF47" s="3">
        <v>47702</v>
      </c>
      <c r="AG47" s="3">
        <v>47222</v>
      </c>
      <c r="AH47" s="3">
        <v>46162</v>
      </c>
      <c r="AI47" s="16">
        <v>185579</v>
      </c>
    </row>
    <row r="48" spans="1:35">
      <c r="A48" s="4" t="s">
        <v>1</v>
      </c>
      <c r="B48" s="4" t="s">
        <v>167</v>
      </c>
      <c r="C48" s="4" t="s">
        <v>40</v>
      </c>
      <c r="D48" s="4" t="s">
        <v>40</v>
      </c>
      <c r="E48" s="3" t="s">
        <v>40</v>
      </c>
      <c r="F48" s="3" t="s">
        <v>40</v>
      </c>
      <c r="G48" s="3" t="s">
        <v>40</v>
      </c>
      <c r="H48" s="3" t="s">
        <v>40</v>
      </c>
      <c r="I48" s="16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16" t="s">
        <v>40</v>
      </c>
      <c r="O48" s="3" t="s">
        <v>40</v>
      </c>
      <c r="P48" s="3" t="s">
        <v>40</v>
      </c>
      <c r="Q48" s="3">
        <v>36516</v>
      </c>
      <c r="R48" s="3" t="s">
        <v>40</v>
      </c>
      <c r="S48" s="16">
        <v>160364</v>
      </c>
      <c r="T48" s="3" t="s">
        <v>40</v>
      </c>
      <c r="U48" s="3" t="s">
        <v>40</v>
      </c>
      <c r="V48" s="3" t="s">
        <v>40</v>
      </c>
      <c r="W48" s="18" t="s">
        <v>1</v>
      </c>
      <c r="X48" s="17" t="s">
        <v>40</v>
      </c>
      <c r="Y48" s="16" t="s">
        <v>40</v>
      </c>
      <c r="Z48" s="3" t="s">
        <v>40</v>
      </c>
      <c r="AA48" s="3" t="s">
        <v>40</v>
      </c>
      <c r="AB48" s="3" t="s">
        <v>40</v>
      </c>
      <c r="AC48" s="3" t="s">
        <v>40</v>
      </c>
      <c r="AD48" s="16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16" t="s">
        <v>40</v>
      </c>
    </row>
    <row r="49" spans="1:300">
      <c r="A49" s="4" t="s">
        <v>1</v>
      </c>
      <c r="B49" s="4" t="s">
        <v>168</v>
      </c>
      <c r="C49" s="4" t="s">
        <v>40</v>
      </c>
      <c r="D49" s="4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16">
        <v>117000</v>
      </c>
      <c r="J49" s="3" t="s">
        <v>40</v>
      </c>
      <c r="K49" s="3" t="s">
        <v>40</v>
      </c>
      <c r="L49" s="3" t="s">
        <v>40</v>
      </c>
      <c r="M49" s="3" t="s">
        <v>40</v>
      </c>
      <c r="N49" s="16" t="s">
        <v>40</v>
      </c>
      <c r="O49" s="3" t="s">
        <v>40</v>
      </c>
      <c r="P49" s="3" t="s">
        <v>40</v>
      </c>
      <c r="Q49" s="3" t="s">
        <v>40</v>
      </c>
      <c r="R49" s="3" t="s">
        <v>40</v>
      </c>
      <c r="S49" s="16" t="s">
        <v>40</v>
      </c>
      <c r="T49" s="3" t="s">
        <v>40</v>
      </c>
      <c r="U49" s="3" t="s">
        <v>40</v>
      </c>
      <c r="V49" s="3" t="s">
        <v>40</v>
      </c>
      <c r="W49" s="18" t="s">
        <v>1</v>
      </c>
      <c r="X49" s="17" t="s">
        <v>40</v>
      </c>
      <c r="Y49" s="16" t="s">
        <v>40</v>
      </c>
      <c r="Z49" s="3" t="s">
        <v>40</v>
      </c>
      <c r="AA49" s="3" t="s">
        <v>40</v>
      </c>
      <c r="AB49" s="3" t="s">
        <v>40</v>
      </c>
      <c r="AC49" s="3" t="s">
        <v>40</v>
      </c>
      <c r="AD49" s="16" t="s">
        <v>40</v>
      </c>
      <c r="AE49" s="3" t="s">
        <v>40</v>
      </c>
      <c r="AF49" s="3" t="s">
        <v>40</v>
      </c>
      <c r="AG49" s="3" t="s">
        <v>40</v>
      </c>
      <c r="AH49" s="3" t="s">
        <v>40</v>
      </c>
      <c r="AI49" s="16" t="s">
        <v>40</v>
      </c>
    </row>
    <row r="50" spans="1:300">
      <c r="A50" s="339" t="s">
        <v>1</v>
      </c>
      <c r="B50" s="339"/>
      <c r="C50" s="339"/>
      <c r="D50" s="339"/>
      <c r="E50" s="339"/>
      <c r="F50" s="339"/>
      <c r="G50" s="339"/>
      <c r="H50" s="339"/>
      <c r="I50" s="339"/>
      <c r="J50" s="339"/>
      <c r="K50" s="339"/>
      <c r="L50" s="339"/>
      <c r="M50" s="339"/>
      <c r="N50" s="339"/>
      <c r="O50" s="339"/>
      <c r="P50" s="339"/>
      <c r="Q50" s="339"/>
      <c r="R50" s="339"/>
      <c r="S50" s="339"/>
      <c r="T50" s="339"/>
      <c r="U50" s="339"/>
      <c r="V50" s="339"/>
      <c r="W50" s="339"/>
      <c r="X50" s="339"/>
      <c r="Y50" s="339"/>
      <c r="Z50" s="339"/>
      <c r="AA50" s="339"/>
      <c r="AB50" s="339"/>
      <c r="AC50" s="339"/>
      <c r="AD50" s="339"/>
      <c r="AE50" s="339"/>
      <c r="AF50" s="339"/>
      <c r="AG50" s="339"/>
      <c r="AH50" s="339"/>
      <c r="AI50" s="339"/>
      <c r="AJ50" s="339"/>
      <c r="AK50" s="339"/>
      <c r="AL50" s="339"/>
      <c r="AM50" s="339"/>
      <c r="AN50" s="339"/>
      <c r="AO50" s="339"/>
      <c r="AP50" s="339"/>
      <c r="AQ50" s="339"/>
      <c r="AR50" s="339"/>
      <c r="AS50" s="339"/>
      <c r="AT50" s="339"/>
      <c r="AU50" s="339"/>
      <c r="AV50" s="339"/>
      <c r="AW50" s="339"/>
      <c r="AX50" s="339"/>
      <c r="AY50" s="339"/>
      <c r="AZ50" s="339"/>
      <c r="BA50" s="339"/>
      <c r="BB50" s="339"/>
      <c r="BC50" s="339"/>
      <c r="BD50" s="339"/>
      <c r="BE50" s="339"/>
      <c r="BF50" s="339"/>
      <c r="BG50" s="339"/>
      <c r="BH50" s="339"/>
      <c r="BI50" s="339"/>
      <c r="BJ50" s="339"/>
      <c r="BK50" s="339"/>
      <c r="BL50" s="339"/>
      <c r="BM50" s="339"/>
      <c r="BN50" s="339"/>
      <c r="BO50" s="339"/>
      <c r="BP50" s="339"/>
      <c r="BQ50" s="339"/>
      <c r="BR50" s="339"/>
      <c r="BS50" s="339"/>
      <c r="BT50" s="339"/>
      <c r="BU50" s="339"/>
      <c r="BV50" s="339"/>
      <c r="BW50" s="339"/>
      <c r="BX50" s="339"/>
      <c r="BY50" s="339"/>
      <c r="BZ50" s="339"/>
      <c r="CA50" s="339"/>
      <c r="CB50" s="339"/>
      <c r="CC50" s="339"/>
      <c r="CD50" s="339"/>
      <c r="CE50" s="339"/>
      <c r="CF50" s="339"/>
      <c r="CG50" s="339"/>
      <c r="CH50" s="339"/>
      <c r="CI50" s="339"/>
      <c r="CJ50" s="339"/>
      <c r="CK50" s="339"/>
      <c r="CL50" s="339"/>
      <c r="CM50" s="339"/>
      <c r="CN50" s="339"/>
      <c r="CO50" s="339"/>
      <c r="CP50" s="339"/>
      <c r="CQ50" s="339"/>
      <c r="CR50" s="339"/>
      <c r="CS50" s="339"/>
      <c r="CT50" s="339"/>
      <c r="CU50" s="339"/>
      <c r="CV50" s="339"/>
      <c r="CW50" s="339"/>
      <c r="CX50" s="339"/>
      <c r="CY50" s="339"/>
      <c r="CZ50" s="339"/>
      <c r="DA50" s="339"/>
      <c r="DB50" s="339"/>
      <c r="DC50" s="339"/>
      <c r="DD50" s="339"/>
      <c r="DE50" s="339"/>
      <c r="DF50" s="339"/>
      <c r="DG50" s="339"/>
      <c r="DH50" s="339"/>
      <c r="DI50" s="339"/>
      <c r="DJ50" s="339"/>
      <c r="DK50" s="339"/>
      <c r="DL50" s="339"/>
      <c r="DM50" s="339"/>
      <c r="DN50" s="339"/>
      <c r="DO50" s="339"/>
      <c r="DP50" s="339"/>
      <c r="DQ50" s="339"/>
      <c r="DR50" s="339"/>
      <c r="DS50" s="339"/>
      <c r="DT50" s="339"/>
      <c r="DU50" s="339"/>
      <c r="DV50" s="339"/>
      <c r="DW50" s="339"/>
      <c r="DX50" s="339"/>
      <c r="DY50" s="339"/>
      <c r="DZ50" s="339"/>
      <c r="EA50" s="339"/>
      <c r="EB50" s="339"/>
      <c r="EC50" s="339"/>
      <c r="ED50" s="339"/>
      <c r="EE50" s="339"/>
      <c r="EF50" s="339"/>
      <c r="EG50" s="339"/>
      <c r="EH50" s="339"/>
      <c r="EI50" s="339"/>
      <c r="EJ50" s="339"/>
      <c r="EK50" s="339"/>
      <c r="EL50" s="339"/>
      <c r="EM50" s="339"/>
      <c r="EN50" s="339"/>
      <c r="EO50" s="339"/>
      <c r="EP50" s="339"/>
      <c r="EQ50" s="339"/>
      <c r="ER50" s="339"/>
      <c r="ES50" s="339"/>
      <c r="ET50" s="339"/>
      <c r="EU50" s="339"/>
      <c r="EV50" s="339"/>
      <c r="EW50" s="339"/>
      <c r="EX50" s="339"/>
      <c r="EY50" s="339"/>
      <c r="EZ50" s="339"/>
      <c r="FA50" s="339"/>
      <c r="FB50" s="339"/>
      <c r="FC50" s="339"/>
      <c r="FD50" s="339"/>
      <c r="FE50" s="339"/>
      <c r="FF50" s="339"/>
      <c r="FG50" s="339"/>
      <c r="FH50" s="339"/>
      <c r="FI50" s="339"/>
      <c r="FJ50" s="339"/>
      <c r="FK50" s="339"/>
      <c r="FL50" s="339"/>
      <c r="FM50" s="339"/>
      <c r="FN50" s="339"/>
      <c r="FO50" s="339"/>
      <c r="FP50" s="339"/>
      <c r="FQ50" s="339"/>
      <c r="FR50" s="339"/>
      <c r="FS50" s="339"/>
      <c r="FT50" s="339"/>
      <c r="FU50" s="339"/>
      <c r="FV50" s="339"/>
      <c r="FW50" s="339"/>
      <c r="FX50" s="339"/>
      <c r="FY50" s="339"/>
      <c r="FZ50" s="339"/>
      <c r="GA50" s="339"/>
      <c r="GB50" s="339"/>
      <c r="GC50" s="339"/>
      <c r="GD50" s="339"/>
      <c r="GE50" s="339"/>
      <c r="GF50" s="339"/>
      <c r="GG50" s="339"/>
      <c r="GH50" s="339"/>
      <c r="GI50" s="339"/>
      <c r="GJ50" s="339"/>
      <c r="GK50" s="339"/>
      <c r="GL50" s="339"/>
      <c r="GM50" s="339"/>
      <c r="GN50" s="339"/>
      <c r="GO50" s="339"/>
      <c r="GP50" s="339"/>
      <c r="GQ50" s="339"/>
      <c r="GR50" s="339"/>
      <c r="GS50" s="339"/>
      <c r="GT50" s="339"/>
      <c r="GU50" s="339"/>
      <c r="GV50" s="339"/>
      <c r="GW50" s="339"/>
      <c r="GX50" s="339"/>
      <c r="GY50" s="339"/>
      <c r="GZ50" s="339"/>
      <c r="HA50" s="339"/>
      <c r="HB50" s="339"/>
      <c r="HC50" s="339"/>
      <c r="HD50" s="339"/>
      <c r="HE50" s="339"/>
      <c r="HF50" s="339"/>
      <c r="HG50" s="339"/>
      <c r="HH50" s="339"/>
      <c r="HI50" s="339"/>
      <c r="HJ50" s="339"/>
      <c r="HK50" s="339"/>
      <c r="HL50" s="339"/>
      <c r="HM50" s="339"/>
      <c r="HN50" s="339"/>
      <c r="HO50" s="339"/>
      <c r="HP50" s="339"/>
      <c r="HQ50" s="339"/>
      <c r="HR50" s="339"/>
      <c r="HS50" s="339"/>
      <c r="HT50" s="339"/>
      <c r="HU50" s="339"/>
      <c r="HV50" s="339"/>
      <c r="HW50" s="339"/>
      <c r="HX50" s="339"/>
      <c r="HY50" s="339"/>
      <c r="HZ50" s="339"/>
      <c r="IA50" s="339"/>
      <c r="IB50" s="339"/>
      <c r="IC50" s="339"/>
      <c r="ID50" s="339"/>
      <c r="IE50" s="339"/>
      <c r="IF50" s="339"/>
      <c r="IG50" s="339"/>
      <c r="IH50" s="339"/>
      <c r="II50" s="339"/>
      <c r="IJ50" s="339"/>
      <c r="IK50" s="339"/>
      <c r="IL50" s="339"/>
      <c r="IM50" s="339"/>
      <c r="IN50" s="339"/>
      <c r="IO50" s="339"/>
      <c r="IP50" s="339"/>
      <c r="IQ50" s="339"/>
      <c r="IR50" s="339"/>
      <c r="IS50" s="339"/>
      <c r="IT50" s="339"/>
      <c r="IU50" s="339"/>
      <c r="IV50" s="339"/>
      <c r="IW50" s="339"/>
      <c r="IX50" s="339"/>
      <c r="IY50" s="339"/>
      <c r="IZ50" s="339"/>
      <c r="JA50" s="339"/>
      <c r="JB50" s="339"/>
      <c r="JC50" s="339"/>
      <c r="JD50" s="339"/>
      <c r="JE50" s="339"/>
      <c r="JF50" s="339"/>
      <c r="JG50" s="339"/>
      <c r="JH50" s="339"/>
      <c r="JI50" s="339"/>
      <c r="JJ50" s="339"/>
      <c r="JK50" s="339"/>
      <c r="JL50" s="339"/>
      <c r="JM50" s="339"/>
      <c r="JN50" s="339"/>
      <c r="JO50" s="339"/>
      <c r="JP50" s="339"/>
      <c r="JQ50" s="339"/>
      <c r="JR50" s="339"/>
      <c r="JS50" s="339"/>
      <c r="JT50" s="339"/>
      <c r="JU50" s="339"/>
      <c r="JV50" s="339"/>
      <c r="JW50" s="339"/>
      <c r="JX50" s="339"/>
      <c r="JY50" s="339"/>
      <c r="JZ50" s="339"/>
      <c r="KA50" s="339"/>
      <c r="KB50" s="339"/>
      <c r="KC50" s="339"/>
      <c r="KD50" s="339"/>
      <c r="KE50" s="339"/>
      <c r="KF50" s="339"/>
      <c r="KG50" s="339"/>
      <c r="KH50" s="339"/>
      <c r="KI50" s="339"/>
      <c r="KJ50" s="339"/>
      <c r="KK50" s="339"/>
      <c r="KL50" s="339"/>
      <c r="KM50" s="339"/>
      <c r="KN50" s="33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3F75-AAC9-4D6E-BAB3-514FBFA0EE6F}">
  <sheetPr>
    <outlinePr summaryBelow="0"/>
  </sheetPr>
  <dimension ref="A1:KN39"/>
  <sheetViews>
    <sheetView workbookViewId="0">
      <selection activeCell="F4" sqref="F4"/>
    </sheetView>
  </sheetViews>
  <sheetFormatPr defaultRowHeight="15"/>
  <cols>
    <col min="1" max="1" width="2.5703125" bestFit="1" customWidth="1"/>
    <col min="2" max="2" width="50" bestFit="1" customWidth="1"/>
    <col min="3" max="3" width="31.42578125" bestFit="1" customWidth="1"/>
    <col min="4" max="4" width="17.140625" bestFit="1" customWidth="1"/>
    <col min="5" max="7" width="20" bestFit="1" customWidth="1"/>
    <col min="8" max="8" width="1.140625" bestFit="1" customWidth="1"/>
    <col min="9" max="301" width="20" bestFit="1" customWidth="1"/>
  </cols>
  <sheetData>
    <row r="1" spans="1:300">
      <c r="A1" s="1" t="s">
        <v>1</v>
      </c>
      <c r="B1" s="2" t="s">
        <v>119</v>
      </c>
      <c r="C1" s="340" t="s">
        <v>169</v>
      </c>
    </row>
    <row r="2" spans="1:300">
      <c r="A2" s="1" t="s">
        <v>1</v>
      </c>
      <c r="B2" s="2" t="s">
        <v>4</v>
      </c>
      <c r="C2" s="1" t="s">
        <v>5</v>
      </c>
    </row>
    <row r="3" spans="1:300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BZ3" s="339"/>
      <c r="CA3" s="339"/>
      <c r="CB3" s="339"/>
      <c r="CC3" s="339"/>
      <c r="CD3" s="339"/>
      <c r="CE3" s="339"/>
      <c r="CF3" s="339"/>
      <c r="CG3" s="339"/>
      <c r="CH3" s="339"/>
      <c r="CI3" s="339"/>
      <c r="CJ3" s="339"/>
      <c r="CK3" s="339"/>
      <c r="CL3" s="339"/>
      <c r="CM3" s="339"/>
      <c r="CN3" s="339"/>
      <c r="CO3" s="339"/>
      <c r="CP3" s="339"/>
      <c r="CQ3" s="339"/>
      <c r="CR3" s="339"/>
      <c r="CS3" s="339"/>
      <c r="CT3" s="339"/>
      <c r="CU3" s="339"/>
      <c r="CV3" s="339"/>
      <c r="CW3" s="339"/>
      <c r="CX3" s="339"/>
      <c r="CY3" s="339"/>
      <c r="CZ3" s="339"/>
      <c r="DA3" s="339"/>
      <c r="DB3" s="339"/>
      <c r="DC3" s="339"/>
      <c r="DD3" s="339"/>
      <c r="DE3" s="339"/>
      <c r="DF3" s="339"/>
      <c r="DG3" s="339"/>
      <c r="DH3" s="339"/>
      <c r="DI3" s="339"/>
      <c r="DJ3" s="339"/>
      <c r="DK3" s="339"/>
      <c r="DL3" s="339"/>
      <c r="DM3" s="339"/>
      <c r="DN3" s="339"/>
      <c r="DO3" s="339"/>
      <c r="DP3" s="339"/>
      <c r="DQ3" s="339"/>
      <c r="DR3" s="339"/>
      <c r="DS3" s="339"/>
      <c r="DT3" s="339"/>
      <c r="DU3" s="339"/>
      <c r="DV3" s="339"/>
      <c r="DW3" s="339"/>
      <c r="DX3" s="339"/>
      <c r="DY3" s="339"/>
      <c r="DZ3" s="339"/>
      <c r="EA3" s="339"/>
      <c r="EB3" s="339"/>
      <c r="EC3" s="339"/>
      <c r="ED3" s="339"/>
      <c r="EE3" s="339"/>
      <c r="EF3" s="339"/>
      <c r="EG3" s="339"/>
      <c r="EH3" s="339"/>
      <c r="EI3" s="339"/>
      <c r="EJ3" s="339"/>
      <c r="EK3" s="339"/>
      <c r="EL3" s="339"/>
      <c r="EM3" s="339"/>
      <c r="EN3" s="339"/>
      <c r="EO3" s="339"/>
      <c r="EP3" s="339"/>
      <c r="EQ3" s="339"/>
      <c r="ER3" s="339"/>
      <c r="ES3" s="339"/>
      <c r="ET3" s="339"/>
      <c r="EU3" s="339"/>
      <c r="EV3" s="339"/>
      <c r="EW3" s="339"/>
      <c r="EX3" s="339"/>
      <c r="EY3" s="339"/>
      <c r="EZ3" s="339"/>
      <c r="FA3" s="339"/>
      <c r="FB3" s="339"/>
      <c r="FC3" s="339"/>
      <c r="FD3" s="339"/>
      <c r="FE3" s="339"/>
      <c r="FF3" s="339"/>
      <c r="FG3" s="339"/>
      <c r="FH3" s="339"/>
      <c r="FI3" s="339"/>
      <c r="FJ3" s="339"/>
      <c r="FK3" s="339"/>
      <c r="FL3" s="339"/>
      <c r="FM3" s="339"/>
      <c r="FN3" s="339"/>
      <c r="FO3" s="339"/>
      <c r="FP3" s="339"/>
      <c r="FQ3" s="339"/>
      <c r="FR3" s="339"/>
      <c r="FS3" s="339"/>
      <c r="FT3" s="339"/>
      <c r="FU3" s="339"/>
      <c r="FV3" s="339"/>
      <c r="FW3" s="339"/>
      <c r="FX3" s="339"/>
      <c r="FY3" s="339"/>
      <c r="FZ3" s="339"/>
      <c r="GA3" s="339"/>
      <c r="GB3" s="339"/>
      <c r="GC3" s="339"/>
      <c r="GD3" s="339"/>
      <c r="GE3" s="339"/>
      <c r="GF3" s="339"/>
      <c r="GG3" s="339"/>
      <c r="GH3" s="339"/>
      <c r="GI3" s="339"/>
      <c r="GJ3" s="339"/>
      <c r="GK3" s="339"/>
      <c r="GL3" s="339"/>
      <c r="GM3" s="339"/>
      <c r="GN3" s="339"/>
      <c r="GO3" s="339"/>
      <c r="GP3" s="339"/>
      <c r="GQ3" s="339"/>
      <c r="GR3" s="339"/>
      <c r="GS3" s="339"/>
      <c r="GT3" s="339"/>
      <c r="GU3" s="339"/>
      <c r="GV3" s="339"/>
      <c r="GW3" s="339"/>
      <c r="GX3" s="339"/>
      <c r="GY3" s="339"/>
      <c r="GZ3" s="339"/>
      <c r="HA3" s="339"/>
      <c r="HB3" s="339"/>
      <c r="HC3" s="339"/>
      <c r="HD3" s="339"/>
      <c r="HE3" s="339"/>
      <c r="HF3" s="339"/>
      <c r="HG3" s="339"/>
      <c r="HH3" s="339"/>
      <c r="HI3" s="339"/>
      <c r="HJ3" s="339"/>
      <c r="HK3" s="339"/>
      <c r="HL3" s="339"/>
      <c r="HM3" s="339"/>
      <c r="HN3" s="339"/>
      <c r="HO3" s="339"/>
      <c r="HP3" s="339"/>
      <c r="HQ3" s="339"/>
      <c r="HR3" s="339"/>
      <c r="HS3" s="339"/>
      <c r="HT3" s="339"/>
      <c r="HU3" s="339"/>
      <c r="HV3" s="339"/>
      <c r="HW3" s="339"/>
      <c r="HX3" s="339"/>
      <c r="HY3" s="339"/>
      <c r="HZ3" s="339"/>
      <c r="IA3" s="339"/>
      <c r="IB3" s="339"/>
      <c r="IC3" s="339"/>
      <c r="ID3" s="339"/>
      <c r="IE3" s="339"/>
      <c r="IF3" s="339"/>
      <c r="IG3" s="339"/>
      <c r="IH3" s="339"/>
      <c r="II3" s="339"/>
      <c r="IJ3" s="339"/>
      <c r="IK3" s="339"/>
      <c r="IL3" s="339"/>
      <c r="IM3" s="339"/>
      <c r="IN3" s="339"/>
      <c r="IO3" s="339"/>
      <c r="IP3" s="339"/>
      <c r="IQ3" s="339"/>
      <c r="IR3" s="339"/>
      <c r="IS3" s="339"/>
      <c r="IT3" s="339"/>
      <c r="IU3" s="339"/>
      <c r="IV3" s="339"/>
      <c r="IW3" s="339"/>
      <c r="IX3" s="339"/>
      <c r="IY3" s="339"/>
      <c r="IZ3" s="339"/>
      <c r="JA3" s="339"/>
      <c r="JB3" s="339"/>
      <c r="JC3" s="339"/>
      <c r="JD3" s="339"/>
      <c r="JE3" s="339"/>
      <c r="JF3" s="339"/>
      <c r="JG3" s="339"/>
      <c r="JH3" s="339"/>
      <c r="JI3" s="339"/>
      <c r="JJ3" s="339"/>
      <c r="JK3" s="339"/>
      <c r="JL3" s="339"/>
      <c r="JM3" s="339"/>
      <c r="JN3" s="339"/>
      <c r="JO3" s="339"/>
      <c r="JP3" s="339"/>
      <c r="JQ3" s="339"/>
      <c r="JR3" s="339"/>
      <c r="JS3" s="339"/>
      <c r="JT3" s="339"/>
      <c r="JU3" s="339"/>
      <c r="JV3" s="339"/>
      <c r="JW3" s="339"/>
      <c r="JX3" s="339"/>
      <c r="JY3" s="339"/>
      <c r="JZ3" s="339"/>
      <c r="KA3" s="339"/>
      <c r="KB3" s="339"/>
      <c r="KC3" s="339"/>
      <c r="KD3" s="339"/>
      <c r="KE3" s="339"/>
      <c r="KF3" s="339"/>
      <c r="KG3" s="339"/>
      <c r="KH3" s="339"/>
      <c r="KI3" s="339"/>
      <c r="KJ3" s="339"/>
      <c r="KK3" s="339"/>
      <c r="KL3" s="339"/>
      <c r="KM3" s="339"/>
      <c r="KN3" s="339"/>
    </row>
    <row r="4" spans="1:300">
      <c r="A4" s="1" t="s">
        <v>1</v>
      </c>
      <c r="B4" s="2" t="s">
        <v>6</v>
      </c>
      <c r="C4" s="1" t="s">
        <v>170</v>
      </c>
    </row>
    <row r="5" spans="1:300">
      <c r="A5" s="1" t="s">
        <v>1</v>
      </c>
      <c r="B5" s="2" t="s">
        <v>120</v>
      </c>
      <c r="C5" s="1" t="s">
        <v>171</v>
      </c>
    </row>
    <row r="6" spans="1:300">
      <c r="A6" s="1" t="s">
        <v>1</v>
      </c>
      <c r="B6" s="2" t="s">
        <v>10</v>
      </c>
      <c r="C6" s="1" t="s">
        <v>11</v>
      </c>
    </row>
    <row r="7" spans="1:300">
      <c r="A7" s="339" t="s">
        <v>1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339"/>
      <c r="CK7" s="339"/>
      <c r="CL7" s="339"/>
      <c r="CM7" s="339"/>
      <c r="CN7" s="339"/>
      <c r="CO7" s="339"/>
      <c r="CP7" s="339"/>
      <c r="CQ7" s="339"/>
      <c r="CR7" s="339"/>
      <c r="CS7" s="339"/>
      <c r="CT7" s="339"/>
      <c r="CU7" s="339"/>
      <c r="CV7" s="339"/>
      <c r="CW7" s="339"/>
      <c r="CX7" s="339"/>
      <c r="CY7" s="339"/>
      <c r="CZ7" s="339"/>
      <c r="DA7" s="339"/>
      <c r="DB7" s="339"/>
      <c r="DC7" s="339"/>
      <c r="DD7" s="339"/>
      <c r="DE7" s="339"/>
      <c r="DF7" s="339"/>
      <c r="DG7" s="339"/>
      <c r="DH7" s="339"/>
      <c r="DI7" s="339"/>
      <c r="DJ7" s="339"/>
      <c r="DK7" s="339"/>
      <c r="DL7" s="339"/>
      <c r="DM7" s="339"/>
      <c r="DN7" s="339"/>
      <c r="DO7" s="339"/>
      <c r="DP7" s="339"/>
      <c r="DQ7" s="339"/>
      <c r="DR7" s="339"/>
      <c r="DS7" s="339"/>
      <c r="DT7" s="339"/>
      <c r="DU7" s="339"/>
      <c r="DV7" s="339"/>
      <c r="DW7" s="339"/>
      <c r="DX7" s="339"/>
      <c r="DY7" s="339"/>
      <c r="DZ7" s="339"/>
      <c r="EA7" s="339"/>
      <c r="EB7" s="339"/>
      <c r="EC7" s="339"/>
      <c r="ED7" s="339"/>
      <c r="EE7" s="339"/>
      <c r="EF7" s="339"/>
      <c r="EG7" s="339"/>
      <c r="EH7" s="339"/>
      <c r="EI7" s="339"/>
      <c r="EJ7" s="339"/>
      <c r="EK7" s="339"/>
      <c r="EL7" s="339"/>
      <c r="EM7" s="339"/>
      <c r="EN7" s="339"/>
      <c r="EO7" s="339"/>
      <c r="EP7" s="339"/>
      <c r="EQ7" s="339"/>
      <c r="ER7" s="339"/>
      <c r="ES7" s="339"/>
      <c r="ET7" s="339"/>
      <c r="EU7" s="339"/>
      <c r="EV7" s="339"/>
      <c r="EW7" s="339"/>
      <c r="EX7" s="339"/>
      <c r="EY7" s="339"/>
      <c r="EZ7" s="339"/>
      <c r="FA7" s="339"/>
      <c r="FB7" s="339"/>
      <c r="FC7" s="339"/>
      <c r="FD7" s="339"/>
      <c r="FE7" s="339"/>
      <c r="FF7" s="339"/>
      <c r="FG7" s="339"/>
      <c r="FH7" s="339"/>
      <c r="FI7" s="339"/>
      <c r="FJ7" s="339"/>
      <c r="FK7" s="339"/>
      <c r="FL7" s="339"/>
      <c r="FM7" s="339"/>
      <c r="FN7" s="339"/>
      <c r="FO7" s="339"/>
      <c r="FP7" s="339"/>
      <c r="FQ7" s="339"/>
      <c r="FR7" s="339"/>
      <c r="FS7" s="339"/>
      <c r="FT7" s="339"/>
      <c r="FU7" s="339"/>
      <c r="FV7" s="339"/>
      <c r="FW7" s="339"/>
      <c r="FX7" s="339"/>
      <c r="FY7" s="339"/>
      <c r="FZ7" s="339"/>
      <c r="GA7" s="339"/>
      <c r="GB7" s="339"/>
      <c r="GC7" s="339"/>
      <c r="GD7" s="339"/>
      <c r="GE7" s="339"/>
      <c r="GF7" s="339"/>
      <c r="GG7" s="339"/>
      <c r="GH7" s="339"/>
      <c r="GI7" s="339"/>
      <c r="GJ7" s="339"/>
      <c r="GK7" s="339"/>
      <c r="GL7" s="339"/>
      <c r="GM7" s="339"/>
      <c r="GN7" s="339"/>
      <c r="GO7" s="339"/>
      <c r="GP7" s="339"/>
      <c r="GQ7" s="339"/>
      <c r="GR7" s="339"/>
      <c r="GS7" s="339"/>
      <c r="GT7" s="339"/>
      <c r="GU7" s="339"/>
      <c r="GV7" s="339"/>
      <c r="GW7" s="339"/>
      <c r="GX7" s="339"/>
      <c r="GY7" s="339"/>
      <c r="GZ7" s="339"/>
      <c r="HA7" s="339"/>
      <c r="HB7" s="339"/>
      <c r="HC7" s="339"/>
      <c r="HD7" s="339"/>
      <c r="HE7" s="339"/>
      <c r="HF7" s="339"/>
      <c r="HG7" s="339"/>
      <c r="HH7" s="339"/>
      <c r="HI7" s="339"/>
      <c r="HJ7" s="339"/>
      <c r="HK7" s="339"/>
      <c r="HL7" s="339"/>
      <c r="HM7" s="339"/>
      <c r="HN7" s="339"/>
      <c r="HO7" s="339"/>
      <c r="HP7" s="339"/>
      <c r="HQ7" s="339"/>
      <c r="HR7" s="339"/>
      <c r="HS7" s="339"/>
      <c r="HT7" s="339"/>
      <c r="HU7" s="339"/>
      <c r="HV7" s="339"/>
      <c r="HW7" s="339"/>
      <c r="HX7" s="339"/>
      <c r="HY7" s="339"/>
      <c r="HZ7" s="339"/>
      <c r="IA7" s="339"/>
      <c r="IB7" s="339"/>
      <c r="IC7" s="339"/>
      <c r="ID7" s="339"/>
      <c r="IE7" s="339"/>
      <c r="IF7" s="339"/>
      <c r="IG7" s="339"/>
      <c r="IH7" s="339"/>
      <c r="II7" s="339"/>
      <c r="IJ7" s="339"/>
      <c r="IK7" s="339"/>
      <c r="IL7" s="339"/>
      <c r="IM7" s="339"/>
      <c r="IN7" s="339"/>
      <c r="IO7" s="339"/>
      <c r="IP7" s="339"/>
      <c r="IQ7" s="339"/>
      <c r="IR7" s="339"/>
      <c r="IS7" s="339"/>
      <c r="IT7" s="339"/>
      <c r="IU7" s="339"/>
      <c r="IV7" s="339"/>
      <c r="IW7" s="339"/>
      <c r="IX7" s="339"/>
      <c r="IY7" s="339"/>
      <c r="IZ7" s="339"/>
      <c r="JA7" s="339"/>
      <c r="JB7" s="339"/>
      <c r="JC7" s="339"/>
      <c r="JD7" s="339"/>
      <c r="JE7" s="339"/>
      <c r="JF7" s="339"/>
      <c r="JG7" s="339"/>
      <c r="JH7" s="339"/>
      <c r="JI7" s="339"/>
      <c r="JJ7" s="339"/>
      <c r="JK7" s="339"/>
      <c r="JL7" s="339"/>
      <c r="JM7" s="339"/>
      <c r="JN7" s="339"/>
      <c r="JO7" s="339"/>
      <c r="JP7" s="339"/>
      <c r="JQ7" s="339"/>
      <c r="JR7" s="339"/>
      <c r="JS7" s="339"/>
      <c r="JT7" s="339"/>
      <c r="JU7" s="339"/>
      <c r="JV7" s="339"/>
      <c r="JW7" s="339"/>
      <c r="JX7" s="339"/>
      <c r="JY7" s="339"/>
      <c r="JZ7" s="339"/>
      <c r="KA7" s="339"/>
      <c r="KB7" s="339"/>
      <c r="KC7" s="339"/>
      <c r="KD7" s="339"/>
      <c r="KE7" s="339"/>
      <c r="KF7" s="339"/>
      <c r="KG7" s="339"/>
      <c r="KH7" s="339"/>
      <c r="KI7" s="339"/>
      <c r="KJ7" s="339"/>
      <c r="KK7" s="339"/>
      <c r="KL7" s="339"/>
      <c r="KM7" s="339"/>
      <c r="KN7" s="339"/>
    </row>
    <row r="8" spans="1:300">
      <c r="A8" s="401" t="s">
        <v>172</v>
      </c>
      <c r="B8" s="401"/>
      <c r="C8" s="401"/>
      <c r="D8" s="401"/>
    </row>
    <row r="9" spans="1:300">
      <c r="A9" s="36" t="s">
        <v>1</v>
      </c>
      <c r="B9" s="36" t="s">
        <v>1</v>
      </c>
      <c r="C9" s="36" t="s">
        <v>1</v>
      </c>
      <c r="D9" s="36" t="s">
        <v>1</v>
      </c>
      <c r="E9" s="30" t="s">
        <v>1</v>
      </c>
      <c r="F9" s="29" t="s">
        <v>1</v>
      </c>
      <c r="G9" s="28" t="s">
        <v>123</v>
      </c>
      <c r="H9" s="18" t="s">
        <v>1</v>
      </c>
      <c r="I9" s="26" t="s">
        <v>124</v>
      </c>
      <c r="J9" s="25" t="s">
        <v>1</v>
      </c>
      <c r="K9" s="24" t="s">
        <v>1</v>
      </c>
    </row>
    <row r="10" spans="1:300">
      <c r="A10" s="36" t="s">
        <v>1</v>
      </c>
      <c r="B10" s="36" t="s">
        <v>1</v>
      </c>
      <c r="C10" s="36" t="s">
        <v>1</v>
      </c>
      <c r="D10" s="36" t="s">
        <v>1</v>
      </c>
      <c r="E10" s="22" t="s">
        <v>135</v>
      </c>
      <c r="F10" s="22" t="s">
        <v>140</v>
      </c>
      <c r="G10" s="22" t="s">
        <v>145</v>
      </c>
      <c r="H10" s="18" t="s">
        <v>1</v>
      </c>
      <c r="I10" s="21" t="s">
        <v>150</v>
      </c>
      <c r="J10" s="20" t="s">
        <v>108</v>
      </c>
      <c r="K10" s="20" t="s">
        <v>116</v>
      </c>
    </row>
    <row r="11" spans="1:300">
      <c r="A11" s="33" t="s">
        <v>1</v>
      </c>
      <c r="B11" s="33" t="s">
        <v>1</v>
      </c>
      <c r="C11" s="33" t="s">
        <v>159</v>
      </c>
      <c r="D11" s="33" t="s">
        <v>1</v>
      </c>
      <c r="E11" s="5">
        <v>7</v>
      </c>
      <c r="F11" s="5">
        <v>3</v>
      </c>
      <c r="G11" s="5">
        <v>9</v>
      </c>
      <c r="H11" s="18" t="s">
        <v>1</v>
      </c>
      <c r="I11" s="35">
        <v>8</v>
      </c>
      <c r="J11" s="5">
        <v>10</v>
      </c>
      <c r="K11" s="5">
        <v>8</v>
      </c>
    </row>
    <row r="12" spans="1:300">
      <c r="A12" s="33" t="s">
        <v>1</v>
      </c>
      <c r="B12" s="33" t="s">
        <v>1</v>
      </c>
      <c r="C12" s="33" t="s">
        <v>14</v>
      </c>
      <c r="D12" s="33" t="s">
        <v>1</v>
      </c>
      <c r="E12" s="3">
        <v>-6.4399999999999999E-2</v>
      </c>
      <c r="F12" s="3">
        <v>4.3933900000000001</v>
      </c>
      <c r="G12" s="3">
        <v>0.65481999999999996</v>
      </c>
      <c r="H12" s="18" t="s">
        <v>1</v>
      </c>
      <c r="I12" s="17">
        <v>1.2479899999999999</v>
      </c>
      <c r="J12" s="3">
        <v>1.6267400000000001</v>
      </c>
      <c r="K12" s="3">
        <v>1.6543399999999999</v>
      </c>
    </row>
    <row r="13" spans="1:300">
      <c r="A13" s="33" t="s">
        <v>1</v>
      </c>
      <c r="B13" s="33" t="s">
        <v>1</v>
      </c>
      <c r="C13" s="33" t="s">
        <v>15</v>
      </c>
      <c r="D13" s="33" t="s">
        <v>1</v>
      </c>
      <c r="E13" s="3">
        <v>-0.13542999999999999</v>
      </c>
      <c r="F13" s="3">
        <v>4.4130000000000003</v>
      </c>
      <c r="G13" s="3">
        <v>0.49889</v>
      </c>
      <c r="H13" s="18" t="s">
        <v>1</v>
      </c>
      <c r="I13" s="17">
        <v>1.2470000000000001</v>
      </c>
      <c r="J13" s="3">
        <v>1.7470000000000001</v>
      </c>
      <c r="K13" s="3">
        <v>1.64588</v>
      </c>
    </row>
    <row r="14" spans="1:300">
      <c r="A14" s="33" t="s">
        <v>1</v>
      </c>
      <c r="B14" s="33" t="s">
        <v>1</v>
      </c>
      <c r="C14" s="33" t="s">
        <v>16</v>
      </c>
      <c r="D14" s="33" t="s">
        <v>1</v>
      </c>
      <c r="E14" s="3">
        <v>52.445</v>
      </c>
      <c r="F14" s="3">
        <v>-0.44500000000000001</v>
      </c>
      <c r="G14" s="3">
        <v>31.254999999999999</v>
      </c>
      <c r="H14" s="18" t="s">
        <v>1</v>
      </c>
      <c r="I14" s="17">
        <v>7.9000000000000001E-2</v>
      </c>
      <c r="J14" s="3">
        <v>-6.8840000000000003</v>
      </c>
      <c r="K14" s="3">
        <v>0.51400000000000001</v>
      </c>
    </row>
    <row r="15" spans="1:300">
      <c r="A15" s="33" t="s">
        <v>1</v>
      </c>
      <c r="B15" s="33" t="s">
        <v>1</v>
      </c>
      <c r="C15" s="33" t="s">
        <v>19</v>
      </c>
      <c r="D15" s="33" t="s">
        <v>1</v>
      </c>
      <c r="E15" s="3">
        <v>0.42</v>
      </c>
      <c r="F15" s="3">
        <v>4.7300000000000004</v>
      </c>
      <c r="G15" s="3">
        <v>2.52</v>
      </c>
      <c r="H15" s="18" t="s">
        <v>1</v>
      </c>
      <c r="I15" s="17">
        <v>1.47</v>
      </c>
      <c r="J15" s="3">
        <v>2.4</v>
      </c>
      <c r="K15" s="3">
        <v>1.86</v>
      </c>
    </row>
    <row r="16" spans="1:300">
      <c r="A16" s="33" t="s">
        <v>1</v>
      </c>
      <c r="B16" s="33" t="s">
        <v>1</v>
      </c>
      <c r="C16" s="33" t="s">
        <v>18</v>
      </c>
      <c r="D16" s="33" t="s">
        <v>1</v>
      </c>
      <c r="E16" s="3">
        <v>-0.98</v>
      </c>
      <c r="F16" s="3">
        <v>3.899</v>
      </c>
      <c r="G16" s="3">
        <v>-0.23</v>
      </c>
      <c r="H16" s="18" t="s">
        <v>1</v>
      </c>
      <c r="I16" s="17">
        <v>0.75</v>
      </c>
      <c r="J16" s="3">
        <v>1.07</v>
      </c>
      <c r="K16" s="3">
        <v>1.29</v>
      </c>
    </row>
    <row r="17" spans="1:300">
      <c r="A17" s="32" t="s">
        <v>1</v>
      </c>
      <c r="B17" s="32" t="s">
        <v>1</v>
      </c>
      <c r="C17" s="32" t="s">
        <v>160</v>
      </c>
      <c r="D17" s="32" t="s">
        <v>1</v>
      </c>
      <c r="E17" s="31">
        <v>-0.32</v>
      </c>
      <c r="F17" s="31">
        <v>4.45</v>
      </c>
      <c r="G17" s="31">
        <v>-0.49</v>
      </c>
      <c r="H17" s="18" t="s">
        <v>1</v>
      </c>
      <c r="I17" s="31" t="s">
        <v>40</v>
      </c>
      <c r="J17" s="31" t="s">
        <v>40</v>
      </c>
      <c r="K17" s="31" t="s">
        <v>40</v>
      </c>
    </row>
    <row r="18" spans="1:300">
      <c r="A18" s="339" t="s">
        <v>1</v>
      </c>
      <c r="B18" s="339"/>
      <c r="C18" s="339"/>
      <c r="D18" s="339"/>
      <c r="E18" s="339"/>
      <c r="F18" s="339"/>
      <c r="G18" s="339"/>
      <c r="H18" s="339"/>
      <c r="I18" s="339"/>
      <c r="J18" s="339"/>
      <c r="K18" s="339"/>
      <c r="L18" s="339"/>
      <c r="M18" s="339"/>
      <c r="N18" s="339"/>
      <c r="O18" s="339"/>
      <c r="P18" s="339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39"/>
      <c r="AG18" s="339"/>
      <c r="AH18" s="339"/>
      <c r="AI18" s="339"/>
      <c r="AJ18" s="339"/>
      <c r="AK18" s="339"/>
      <c r="AL18" s="339"/>
      <c r="AM18" s="339"/>
      <c r="AN18" s="339"/>
      <c r="AO18" s="339"/>
      <c r="AP18" s="339"/>
      <c r="AQ18" s="339"/>
      <c r="AR18" s="339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339"/>
      <c r="BQ18" s="339"/>
      <c r="BR18" s="339"/>
      <c r="BS18" s="339"/>
      <c r="BT18" s="339"/>
      <c r="BU18" s="339"/>
      <c r="BV18" s="339"/>
      <c r="BW18" s="339"/>
      <c r="BX18" s="339"/>
      <c r="BY18" s="339"/>
      <c r="BZ18" s="339"/>
      <c r="CA18" s="339"/>
      <c r="CB18" s="339"/>
      <c r="CC18" s="339"/>
      <c r="CD18" s="339"/>
      <c r="CE18" s="339"/>
      <c r="CF18" s="339"/>
      <c r="CG18" s="339"/>
      <c r="CH18" s="339"/>
      <c r="CI18" s="339"/>
      <c r="CJ18" s="339"/>
      <c r="CK18" s="339"/>
      <c r="CL18" s="339"/>
      <c r="CM18" s="339"/>
      <c r="CN18" s="339"/>
      <c r="CO18" s="339"/>
      <c r="CP18" s="339"/>
      <c r="CQ18" s="339"/>
      <c r="CR18" s="339"/>
      <c r="CS18" s="339"/>
      <c r="CT18" s="339"/>
      <c r="CU18" s="339"/>
      <c r="CV18" s="339"/>
      <c r="CW18" s="339"/>
      <c r="CX18" s="339"/>
      <c r="CY18" s="339"/>
      <c r="CZ18" s="339"/>
      <c r="DA18" s="339"/>
      <c r="DB18" s="339"/>
      <c r="DC18" s="339"/>
      <c r="DD18" s="339"/>
      <c r="DE18" s="339"/>
      <c r="DF18" s="339"/>
      <c r="DG18" s="339"/>
      <c r="DH18" s="339"/>
      <c r="DI18" s="339"/>
      <c r="DJ18" s="339"/>
      <c r="DK18" s="339"/>
      <c r="DL18" s="339"/>
      <c r="DM18" s="339"/>
      <c r="DN18" s="339"/>
      <c r="DO18" s="339"/>
      <c r="DP18" s="339"/>
      <c r="DQ18" s="339"/>
      <c r="DR18" s="339"/>
      <c r="DS18" s="339"/>
      <c r="DT18" s="339"/>
      <c r="DU18" s="339"/>
      <c r="DV18" s="339"/>
      <c r="DW18" s="339"/>
      <c r="DX18" s="339"/>
      <c r="DY18" s="339"/>
      <c r="DZ18" s="339"/>
      <c r="EA18" s="339"/>
      <c r="EB18" s="339"/>
      <c r="EC18" s="339"/>
      <c r="ED18" s="339"/>
      <c r="EE18" s="339"/>
      <c r="EF18" s="339"/>
      <c r="EG18" s="339"/>
      <c r="EH18" s="339"/>
      <c r="EI18" s="339"/>
      <c r="EJ18" s="339"/>
      <c r="EK18" s="339"/>
      <c r="EL18" s="339"/>
      <c r="EM18" s="339"/>
      <c r="EN18" s="339"/>
      <c r="EO18" s="339"/>
      <c r="EP18" s="339"/>
      <c r="EQ18" s="339"/>
      <c r="ER18" s="339"/>
      <c r="ES18" s="339"/>
      <c r="ET18" s="339"/>
      <c r="EU18" s="339"/>
      <c r="EV18" s="339"/>
      <c r="EW18" s="339"/>
      <c r="EX18" s="339"/>
      <c r="EY18" s="339"/>
      <c r="EZ18" s="339"/>
      <c r="FA18" s="339"/>
      <c r="FB18" s="339"/>
      <c r="FC18" s="339"/>
      <c r="FD18" s="339"/>
      <c r="FE18" s="339"/>
      <c r="FF18" s="339"/>
      <c r="FG18" s="339"/>
      <c r="FH18" s="339"/>
      <c r="FI18" s="339"/>
      <c r="FJ18" s="339"/>
      <c r="FK18" s="339"/>
      <c r="FL18" s="339"/>
      <c r="FM18" s="339"/>
      <c r="FN18" s="339"/>
      <c r="FO18" s="339"/>
      <c r="FP18" s="339"/>
      <c r="FQ18" s="339"/>
      <c r="FR18" s="339"/>
      <c r="FS18" s="339"/>
      <c r="FT18" s="339"/>
      <c r="FU18" s="339"/>
      <c r="FV18" s="339"/>
      <c r="FW18" s="339"/>
      <c r="FX18" s="339"/>
      <c r="FY18" s="339"/>
      <c r="FZ18" s="339"/>
      <c r="GA18" s="339"/>
      <c r="GB18" s="339"/>
      <c r="GC18" s="339"/>
      <c r="GD18" s="339"/>
      <c r="GE18" s="339"/>
      <c r="GF18" s="339"/>
      <c r="GG18" s="339"/>
      <c r="GH18" s="339"/>
      <c r="GI18" s="339"/>
      <c r="GJ18" s="339"/>
      <c r="GK18" s="339"/>
      <c r="GL18" s="339"/>
      <c r="GM18" s="339"/>
      <c r="GN18" s="339"/>
      <c r="GO18" s="339"/>
      <c r="GP18" s="339"/>
      <c r="GQ18" s="339"/>
      <c r="GR18" s="339"/>
      <c r="GS18" s="339"/>
      <c r="GT18" s="339"/>
      <c r="GU18" s="339"/>
      <c r="GV18" s="339"/>
      <c r="GW18" s="339"/>
      <c r="GX18" s="339"/>
      <c r="GY18" s="339"/>
      <c r="GZ18" s="339"/>
      <c r="HA18" s="339"/>
      <c r="HB18" s="339"/>
      <c r="HC18" s="339"/>
      <c r="HD18" s="339"/>
      <c r="HE18" s="339"/>
      <c r="HF18" s="339"/>
      <c r="HG18" s="339"/>
      <c r="HH18" s="339"/>
      <c r="HI18" s="339"/>
      <c r="HJ18" s="339"/>
      <c r="HK18" s="339"/>
      <c r="HL18" s="339"/>
      <c r="HM18" s="339"/>
      <c r="HN18" s="339"/>
      <c r="HO18" s="339"/>
      <c r="HP18" s="339"/>
      <c r="HQ18" s="339"/>
      <c r="HR18" s="339"/>
      <c r="HS18" s="339"/>
      <c r="HT18" s="339"/>
      <c r="HU18" s="339"/>
      <c r="HV18" s="339"/>
      <c r="HW18" s="339"/>
      <c r="HX18" s="339"/>
      <c r="HY18" s="339"/>
      <c r="HZ18" s="339"/>
      <c r="IA18" s="339"/>
      <c r="IB18" s="339"/>
      <c r="IC18" s="339"/>
      <c r="ID18" s="339"/>
      <c r="IE18" s="339"/>
      <c r="IF18" s="339"/>
      <c r="IG18" s="339"/>
      <c r="IH18" s="339"/>
      <c r="II18" s="339"/>
      <c r="IJ18" s="339"/>
      <c r="IK18" s="339"/>
      <c r="IL18" s="339"/>
      <c r="IM18" s="339"/>
      <c r="IN18" s="339"/>
      <c r="IO18" s="339"/>
      <c r="IP18" s="339"/>
      <c r="IQ18" s="339"/>
      <c r="IR18" s="339"/>
      <c r="IS18" s="339"/>
      <c r="IT18" s="339"/>
      <c r="IU18" s="339"/>
      <c r="IV18" s="339"/>
      <c r="IW18" s="339"/>
      <c r="IX18" s="339"/>
      <c r="IY18" s="339"/>
      <c r="IZ18" s="339"/>
      <c r="JA18" s="339"/>
      <c r="JB18" s="339"/>
      <c r="JC18" s="339"/>
      <c r="JD18" s="339"/>
      <c r="JE18" s="339"/>
      <c r="JF18" s="339"/>
      <c r="JG18" s="339"/>
      <c r="JH18" s="339"/>
      <c r="JI18" s="339"/>
      <c r="JJ18" s="339"/>
      <c r="JK18" s="339"/>
      <c r="JL18" s="339"/>
      <c r="JM18" s="339"/>
      <c r="JN18" s="339"/>
      <c r="JO18" s="339"/>
      <c r="JP18" s="339"/>
      <c r="JQ18" s="339"/>
      <c r="JR18" s="339"/>
      <c r="JS18" s="339"/>
      <c r="JT18" s="339"/>
      <c r="JU18" s="339"/>
      <c r="JV18" s="339"/>
      <c r="JW18" s="339"/>
      <c r="JX18" s="339"/>
      <c r="JY18" s="339"/>
      <c r="JZ18" s="339"/>
      <c r="KA18" s="339"/>
      <c r="KB18" s="339"/>
      <c r="KC18" s="339"/>
      <c r="KD18" s="339"/>
      <c r="KE18" s="339"/>
      <c r="KF18" s="339"/>
      <c r="KG18" s="339"/>
      <c r="KH18" s="339"/>
      <c r="KI18" s="339"/>
      <c r="KJ18" s="339"/>
      <c r="KK18" s="339"/>
      <c r="KL18" s="339"/>
      <c r="KM18" s="339"/>
      <c r="KN18" s="339"/>
    </row>
    <row r="19" spans="1:300">
      <c r="A19" s="401" t="s">
        <v>173</v>
      </c>
      <c r="B19" s="401"/>
      <c r="C19" s="401"/>
      <c r="D19" s="401"/>
    </row>
    <row r="20" spans="1:300">
      <c r="A20" s="27" t="s">
        <v>1</v>
      </c>
      <c r="B20" s="27" t="s">
        <v>1</v>
      </c>
      <c r="C20" s="27" t="s">
        <v>1</v>
      </c>
      <c r="D20" s="27" t="s">
        <v>1</v>
      </c>
      <c r="E20" s="30" t="s">
        <v>1</v>
      </c>
      <c r="F20" s="29" t="s">
        <v>1</v>
      </c>
      <c r="G20" s="28" t="s">
        <v>123</v>
      </c>
      <c r="H20" s="18" t="s">
        <v>1</v>
      </c>
      <c r="I20" s="26" t="s">
        <v>124</v>
      </c>
      <c r="J20" s="25" t="s">
        <v>1</v>
      </c>
      <c r="K20" s="24" t="s">
        <v>1</v>
      </c>
    </row>
    <row r="21" spans="1:300">
      <c r="A21" s="23" t="s">
        <v>1</v>
      </c>
      <c r="B21" s="23" t="s">
        <v>48</v>
      </c>
      <c r="C21" s="23" t="s">
        <v>162</v>
      </c>
      <c r="D21" s="23" t="s">
        <v>50</v>
      </c>
      <c r="E21" s="22" t="s">
        <v>135</v>
      </c>
      <c r="F21" s="22" t="s">
        <v>140</v>
      </c>
      <c r="G21" s="22" t="s">
        <v>174</v>
      </c>
      <c r="H21" s="18" t="s">
        <v>1</v>
      </c>
      <c r="I21" s="21" t="s">
        <v>150</v>
      </c>
      <c r="J21" s="20" t="s">
        <v>108</v>
      </c>
      <c r="K21" s="20" t="s">
        <v>116</v>
      </c>
    </row>
    <row r="22" spans="1:300">
      <c r="A22" s="4" t="s">
        <v>1</v>
      </c>
      <c r="B22" s="4" t="s">
        <v>75</v>
      </c>
      <c r="C22" s="4" t="s">
        <v>76</v>
      </c>
      <c r="D22" s="4" t="s">
        <v>71</v>
      </c>
      <c r="E22" s="3">
        <v>0.19500000000000001</v>
      </c>
      <c r="F22" s="3">
        <v>1.63</v>
      </c>
      <c r="G22" s="3">
        <v>-0.23</v>
      </c>
      <c r="H22" s="18" t="s">
        <v>1</v>
      </c>
      <c r="I22" s="17">
        <v>1.355</v>
      </c>
      <c r="J22" s="3">
        <v>2.0489999999999999</v>
      </c>
      <c r="K22" s="3">
        <v>1.86</v>
      </c>
    </row>
    <row r="23" spans="1:300">
      <c r="A23" s="4" t="s">
        <v>1</v>
      </c>
      <c r="B23" s="4" t="s">
        <v>59</v>
      </c>
      <c r="C23" s="4" t="s">
        <v>59</v>
      </c>
      <c r="D23" s="4" t="s">
        <v>65</v>
      </c>
      <c r="E23" s="3">
        <v>0.42</v>
      </c>
      <c r="F23" s="3">
        <v>4.6100000000000003</v>
      </c>
      <c r="G23" s="3">
        <v>-0.17</v>
      </c>
      <c r="H23" s="18" t="s">
        <v>1</v>
      </c>
      <c r="I23" s="17">
        <v>1.35</v>
      </c>
      <c r="J23" s="3">
        <v>1.64</v>
      </c>
      <c r="K23" s="3">
        <v>1.63</v>
      </c>
    </row>
    <row r="24" spans="1:300">
      <c r="A24" s="4" t="s">
        <v>1</v>
      </c>
      <c r="B24" s="4" t="s">
        <v>82</v>
      </c>
      <c r="C24" s="4" t="s">
        <v>83</v>
      </c>
      <c r="D24" s="4" t="s">
        <v>71</v>
      </c>
      <c r="E24" s="3">
        <v>0.34</v>
      </c>
      <c r="F24" s="3">
        <v>1.9</v>
      </c>
      <c r="G24" s="3">
        <v>-0.14000000000000001</v>
      </c>
      <c r="H24" s="18" t="s">
        <v>1</v>
      </c>
      <c r="I24" s="17">
        <v>1.47</v>
      </c>
      <c r="J24" s="3">
        <v>2.4</v>
      </c>
      <c r="K24" s="3" t="s">
        <v>40</v>
      </c>
    </row>
    <row r="25" spans="1:300">
      <c r="A25" s="4" t="s">
        <v>1</v>
      </c>
      <c r="B25" s="4" t="s">
        <v>164</v>
      </c>
      <c r="C25" s="4" t="s">
        <v>40</v>
      </c>
      <c r="D25" s="4" t="s">
        <v>40</v>
      </c>
      <c r="E25" s="3" t="s">
        <v>40</v>
      </c>
      <c r="F25" s="3">
        <v>1.65</v>
      </c>
      <c r="G25" s="3">
        <v>0.09</v>
      </c>
      <c r="H25" s="18" t="s">
        <v>1</v>
      </c>
      <c r="I25" s="17" t="s">
        <v>40</v>
      </c>
      <c r="J25" s="3" t="s">
        <v>40</v>
      </c>
      <c r="K25" s="3" t="s">
        <v>40</v>
      </c>
    </row>
    <row r="26" spans="1:300">
      <c r="A26" s="4" t="s">
        <v>1</v>
      </c>
      <c r="B26" s="4" t="s">
        <v>102</v>
      </c>
      <c r="C26" s="4" t="s">
        <v>103</v>
      </c>
      <c r="D26" s="4" t="s">
        <v>104</v>
      </c>
      <c r="E26" s="3" t="s">
        <v>40</v>
      </c>
      <c r="F26" s="3">
        <v>1.33</v>
      </c>
      <c r="G26" s="3">
        <v>0.36</v>
      </c>
      <c r="H26" s="18" t="s">
        <v>1</v>
      </c>
      <c r="I26" s="17">
        <v>1.36</v>
      </c>
      <c r="J26" s="3">
        <v>1.51</v>
      </c>
      <c r="K26" s="3">
        <v>1.64</v>
      </c>
    </row>
    <row r="27" spans="1:300">
      <c r="A27" s="4" t="s">
        <v>1</v>
      </c>
      <c r="B27" s="4" t="s">
        <v>69</v>
      </c>
      <c r="C27" s="4" t="s">
        <v>70</v>
      </c>
      <c r="D27" s="4" t="s">
        <v>71</v>
      </c>
      <c r="E27" s="3">
        <v>-0.98</v>
      </c>
      <c r="F27" s="3">
        <v>-0.05</v>
      </c>
      <c r="G27" s="3">
        <v>0.62</v>
      </c>
      <c r="H27" s="18" t="s">
        <v>1</v>
      </c>
      <c r="I27" s="17">
        <v>0.75</v>
      </c>
      <c r="J27" s="3">
        <v>1.07</v>
      </c>
      <c r="K27" s="3">
        <v>1.29</v>
      </c>
    </row>
    <row r="28" spans="1:300">
      <c r="A28" s="4" t="s">
        <v>1</v>
      </c>
      <c r="B28" s="4" t="s">
        <v>59</v>
      </c>
      <c r="C28" s="4" t="s">
        <v>59</v>
      </c>
      <c r="D28" s="4" t="s">
        <v>65</v>
      </c>
      <c r="E28" s="3">
        <v>-0.45</v>
      </c>
      <c r="F28" s="3">
        <v>4.7300000000000004</v>
      </c>
      <c r="G28" s="3">
        <v>1.65</v>
      </c>
      <c r="H28" s="18" t="s">
        <v>1</v>
      </c>
      <c r="I28" s="17">
        <v>1.26</v>
      </c>
      <c r="J28" s="3">
        <v>1.65</v>
      </c>
      <c r="K28" s="3">
        <v>1.75</v>
      </c>
    </row>
    <row r="29" spans="1:300">
      <c r="A29" s="4" t="s">
        <v>1</v>
      </c>
      <c r="B29" s="4" t="s">
        <v>59</v>
      </c>
      <c r="C29" s="4" t="s">
        <v>59</v>
      </c>
      <c r="D29" s="4" t="s">
        <v>60</v>
      </c>
      <c r="E29" s="3">
        <v>0.04</v>
      </c>
      <c r="F29" s="3">
        <v>1.79</v>
      </c>
      <c r="G29" s="3">
        <v>1.95</v>
      </c>
      <c r="H29" s="18" t="s">
        <v>1</v>
      </c>
      <c r="I29" s="17">
        <v>1.84</v>
      </c>
      <c r="J29" s="3">
        <v>1.85</v>
      </c>
      <c r="K29" s="3">
        <v>1.7</v>
      </c>
    </row>
    <row r="30" spans="1:300">
      <c r="A30" s="4" t="s">
        <v>1</v>
      </c>
      <c r="B30" s="4" t="s">
        <v>88</v>
      </c>
      <c r="C30" s="4" t="s">
        <v>89</v>
      </c>
      <c r="D30" s="4" t="s">
        <v>90</v>
      </c>
      <c r="E30" s="3">
        <v>0.05</v>
      </c>
      <c r="F30" s="3">
        <v>1.8</v>
      </c>
      <c r="G30" s="3">
        <v>1.99</v>
      </c>
      <c r="H30" s="18" t="s">
        <v>1</v>
      </c>
      <c r="I30" s="17">
        <v>1.1499999999999999</v>
      </c>
      <c r="J30" s="3">
        <v>1.55</v>
      </c>
      <c r="K30" s="3">
        <v>1.76</v>
      </c>
    </row>
    <row r="31" spans="1:300">
      <c r="A31" s="4" t="s">
        <v>1</v>
      </c>
      <c r="B31" s="4" t="s">
        <v>59</v>
      </c>
      <c r="C31" s="4" t="s">
        <v>59</v>
      </c>
      <c r="D31" s="4" t="s">
        <v>65</v>
      </c>
      <c r="E31" s="3">
        <v>0.03</v>
      </c>
      <c r="F31" s="3">
        <v>1.96</v>
      </c>
      <c r="G31" s="3">
        <v>2</v>
      </c>
      <c r="H31" s="18" t="s">
        <v>1</v>
      </c>
      <c r="I31" s="17">
        <v>1.95</v>
      </c>
      <c r="J31" s="3">
        <v>1.45</v>
      </c>
      <c r="K31" s="3">
        <v>1.3</v>
      </c>
    </row>
    <row r="32" spans="1:300">
      <c r="A32" s="4" t="s">
        <v>1</v>
      </c>
      <c r="B32" s="4" t="s">
        <v>59</v>
      </c>
      <c r="C32" s="4" t="s">
        <v>59</v>
      </c>
      <c r="D32" s="4" t="s">
        <v>71</v>
      </c>
      <c r="E32" s="3">
        <v>-0.05</v>
      </c>
      <c r="F32" s="3">
        <v>1.7</v>
      </c>
      <c r="G32" s="3">
        <v>2</v>
      </c>
      <c r="H32" s="18" t="s">
        <v>1</v>
      </c>
      <c r="I32" s="17">
        <v>1.85</v>
      </c>
      <c r="J32" s="3">
        <v>1.95</v>
      </c>
      <c r="K32" s="3" t="s">
        <v>40</v>
      </c>
    </row>
    <row r="33" spans="1:300">
      <c r="A33" s="4" t="s">
        <v>1</v>
      </c>
      <c r="B33" s="4" t="s">
        <v>167</v>
      </c>
      <c r="C33" s="4" t="s">
        <v>40</v>
      </c>
      <c r="D33" s="4" t="s">
        <v>40</v>
      </c>
      <c r="E33" s="3" t="s">
        <v>40</v>
      </c>
      <c r="F33" s="3" t="s">
        <v>40</v>
      </c>
      <c r="G33" s="3">
        <v>2.52</v>
      </c>
      <c r="H33" s="18" t="s">
        <v>1</v>
      </c>
      <c r="I33" s="17" t="s">
        <v>40</v>
      </c>
      <c r="J33" s="3" t="s">
        <v>40</v>
      </c>
      <c r="K33" s="3" t="s">
        <v>40</v>
      </c>
    </row>
    <row r="34" spans="1:300">
      <c r="A34" s="4" t="s">
        <v>1</v>
      </c>
      <c r="B34" s="4" t="s">
        <v>93</v>
      </c>
      <c r="C34" s="4" t="s">
        <v>94</v>
      </c>
      <c r="D34" s="4" t="s">
        <v>90</v>
      </c>
      <c r="E34" s="3" t="s">
        <v>59</v>
      </c>
      <c r="F34" s="3" t="s">
        <v>59</v>
      </c>
      <c r="G34" s="3" t="s">
        <v>59</v>
      </c>
      <c r="H34" s="18" t="s">
        <v>1</v>
      </c>
      <c r="I34" s="17" t="s">
        <v>59</v>
      </c>
      <c r="J34" s="3" t="s">
        <v>59</v>
      </c>
      <c r="K34" s="3" t="s">
        <v>59</v>
      </c>
    </row>
    <row r="35" spans="1:300">
      <c r="A35" s="4" t="s">
        <v>1</v>
      </c>
      <c r="B35" s="4" t="s">
        <v>165</v>
      </c>
      <c r="C35" s="4" t="s">
        <v>40</v>
      </c>
      <c r="D35" s="4" t="s">
        <v>40</v>
      </c>
      <c r="E35" s="3">
        <v>-0.70299999999999996</v>
      </c>
      <c r="F35" s="3">
        <v>3.899</v>
      </c>
      <c r="G35" s="3" t="s">
        <v>40</v>
      </c>
      <c r="H35" s="18" t="s">
        <v>1</v>
      </c>
      <c r="I35" s="17" t="s">
        <v>40</v>
      </c>
      <c r="J35" s="3" t="s">
        <v>40</v>
      </c>
      <c r="K35" s="3" t="s">
        <v>40</v>
      </c>
    </row>
    <row r="36" spans="1:300">
      <c r="A36" s="4" t="s">
        <v>1</v>
      </c>
      <c r="B36" s="4" t="s">
        <v>59</v>
      </c>
      <c r="C36" s="4" t="s">
        <v>40</v>
      </c>
      <c r="D36" s="4" t="s">
        <v>40</v>
      </c>
      <c r="E36" s="3">
        <v>-0.05</v>
      </c>
      <c r="F36" s="3" t="s">
        <v>40</v>
      </c>
      <c r="G36" s="3" t="s">
        <v>40</v>
      </c>
      <c r="H36" s="18" t="s">
        <v>1</v>
      </c>
      <c r="I36" s="17" t="s">
        <v>40</v>
      </c>
      <c r="J36" s="3" t="s">
        <v>40</v>
      </c>
      <c r="K36" s="3" t="s">
        <v>40</v>
      </c>
    </row>
    <row r="37" spans="1:300">
      <c r="A37" s="4" t="s">
        <v>1</v>
      </c>
      <c r="B37" s="4" t="s">
        <v>59</v>
      </c>
      <c r="C37" s="4" t="s">
        <v>40</v>
      </c>
      <c r="D37" s="4" t="s">
        <v>40</v>
      </c>
      <c r="E37" s="3" t="s">
        <v>40</v>
      </c>
      <c r="F37" s="3">
        <v>1.22</v>
      </c>
      <c r="G37" s="3" t="s">
        <v>40</v>
      </c>
      <c r="H37" s="18" t="s">
        <v>1</v>
      </c>
      <c r="I37" s="17" t="s">
        <v>40</v>
      </c>
      <c r="J37" s="3" t="s">
        <v>40</v>
      </c>
      <c r="K37" s="3" t="s">
        <v>40</v>
      </c>
    </row>
    <row r="38" spans="1:300">
      <c r="A38" s="4" t="s">
        <v>1</v>
      </c>
      <c r="B38" s="4" t="s">
        <v>59</v>
      </c>
      <c r="C38" s="4" t="s">
        <v>59</v>
      </c>
      <c r="D38" s="4" t="s">
        <v>104</v>
      </c>
      <c r="E38" s="3" t="s">
        <v>40</v>
      </c>
      <c r="F38" s="3" t="s">
        <v>40</v>
      </c>
      <c r="G38" s="3" t="s">
        <v>40</v>
      </c>
      <c r="H38" s="18" t="s">
        <v>1</v>
      </c>
      <c r="I38" s="17">
        <v>1.321</v>
      </c>
      <c r="J38" s="3">
        <v>1.8009999999999999</v>
      </c>
      <c r="K38" s="3">
        <v>1.7370000000000001</v>
      </c>
    </row>
    <row r="39" spans="1:300">
      <c r="A39" s="339" t="s">
        <v>1</v>
      </c>
      <c r="B39" s="339"/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  <c r="AH39" s="339"/>
      <c r="AI39" s="339"/>
      <c r="AJ39" s="339"/>
      <c r="AK39" s="339"/>
      <c r="AL39" s="339"/>
      <c r="AM39" s="339"/>
      <c r="AN39" s="339"/>
      <c r="AO39" s="339"/>
      <c r="AP39" s="339"/>
      <c r="AQ39" s="339"/>
      <c r="AR39" s="339"/>
      <c r="AS39" s="339"/>
      <c r="AT39" s="339"/>
      <c r="AU39" s="339"/>
      <c r="AV39" s="339"/>
      <c r="AW39" s="339"/>
      <c r="AX39" s="339"/>
      <c r="AY39" s="339"/>
      <c r="AZ39" s="339"/>
      <c r="BA39" s="339"/>
      <c r="BB39" s="339"/>
      <c r="BC39" s="339"/>
      <c r="BD39" s="339"/>
      <c r="BE39" s="339"/>
      <c r="BF39" s="339"/>
      <c r="BG39" s="339"/>
      <c r="BH39" s="339"/>
      <c r="BI39" s="339"/>
      <c r="BJ39" s="339"/>
      <c r="BK39" s="339"/>
      <c r="BL39" s="339"/>
      <c r="BM39" s="339"/>
      <c r="BN39" s="339"/>
      <c r="BO39" s="339"/>
      <c r="BP39" s="339"/>
      <c r="BQ39" s="339"/>
      <c r="BR39" s="339"/>
      <c r="BS39" s="339"/>
      <c r="BT39" s="339"/>
      <c r="BU39" s="339"/>
      <c r="BV39" s="339"/>
      <c r="BW39" s="339"/>
      <c r="BX39" s="339"/>
      <c r="BY39" s="339"/>
      <c r="BZ39" s="339"/>
      <c r="CA39" s="339"/>
      <c r="CB39" s="339"/>
      <c r="CC39" s="339"/>
      <c r="CD39" s="339"/>
      <c r="CE39" s="339"/>
      <c r="CF39" s="339"/>
      <c r="CG39" s="339"/>
      <c r="CH39" s="339"/>
      <c r="CI39" s="339"/>
      <c r="CJ39" s="339"/>
      <c r="CK39" s="339"/>
      <c r="CL39" s="339"/>
      <c r="CM39" s="339"/>
      <c r="CN39" s="339"/>
      <c r="CO39" s="339"/>
      <c r="CP39" s="339"/>
      <c r="CQ39" s="339"/>
      <c r="CR39" s="339"/>
      <c r="CS39" s="339"/>
      <c r="CT39" s="339"/>
      <c r="CU39" s="339"/>
      <c r="CV39" s="339"/>
      <c r="CW39" s="339"/>
      <c r="CX39" s="339"/>
      <c r="CY39" s="339"/>
      <c r="CZ39" s="339"/>
      <c r="DA39" s="339"/>
      <c r="DB39" s="339"/>
      <c r="DC39" s="339"/>
      <c r="DD39" s="339"/>
      <c r="DE39" s="339"/>
      <c r="DF39" s="339"/>
      <c r="DG39" s="339"/>
      <c r="DH39" s="339"/>
      <c r="DI39" s="339"/>
      <c r="DJ39" s="339"/>
      <c r="DK39" s="339"/>
      <c r="DL39" s="339"/>
      <c r="DM39" s="339"/>
      <c r="DN39" s="339"/>
      <c r="DO39" s="339"/>
      <c r="DP39" s="339"/>
      <c r="DQ39" s="339"/>
      <c r="DR39" s="339"/>
      <c r="DS39" s="339"/>
      <c r="DT39" s="339"/>
      <c r="DU39" s="339"/>
      <c r="DV39" s="339"/>
      <c r="DW39" s="339"/>
      <c r="DX39" s="339"/>
      <c r="DY39" s="339"/>
      <c r="DZ39" s="339"/>
      <c r="EA39" s="339"/>
      <c r="EB39" s="339"/>
      <c r="EC39" s="339"/>
      <c r="ED39" s="339"/>
      <c r="EE39" s="339"/>
      <c r="EF39" s="339"/>
      <c r="EG39" s="339"/>
      <c r="EH39" s="339"/>
      <c r="EI39" s="339"/>
      <c r="EJ39" s="339"/>
      <c r="EK39" s="339"/>
      <c r="EL39" s="339"/>
      <c r="EM39" s="339"/>
      <c r="EN39" s="339"/>
      <c r="EO39" s="339"/>
      <c r="EP39" s="339"/>
      <c r="EQ39" s="339"/>
      <c r="ER39" s="339"/>
      <c r="ES39" s="339"/>
      <c r="ET39" s="339"/>
      <c r="EU39" s="339"/>
      <c r="EV39" s="339"/>
      <c r="EW39" s="339"/>
      <c r="EX39" s="339"/>
      <c r="EY39" s="339"/>
      <c r="EZ39" s="339"/>
      <c r="FA39" s="339"/>
      <c r="FB39" s="339"/>
      <c r="FC39" s="339"/>
      <c r="FD39" s="339"/>
      <c r="FE39" s="339"/>
      <c r="FF39" s="339"/>
      <c r="FG39" s="339"/>
      <c r="FH39" s="339"/>
      <c r="FI39" s="339"/>
      <c r="FJ39" s="339"/>
      <c r="FK39" s="339"/>
      <c r="FL39" s="339"/>
      <c r="FM39" s="339"/>
      <c r="FN39" s="339"/>
      <c r="FO39" s="339"/>
      <c r="FP39" s="339"/>
      <c r="FQ39" s="339"/>
      <c r="FR39" s="339"/>
      <c r="FS39" s="339"/>
      <c r="FT39" s="339"/>
      <c r="FU39" s="339"/>
      <c r="FV39" s="339"/>
      <c r="FW39" s="339"/>
      <c r="FX39" s="339"/>
      <c r="FY39" s="339"/>
      <c r="FZ39" s="339"/>
      <c r="GA39" s="339"/>
      <c r="GB39" s="339"/>
      <c r="GC39" s="339"/>
      <c r="GD39" s="339"/>
      <c r="GE39" s="339"/>
      <c r="GF39" s="339"/>
      <c r="GG39" s="339"/>
      <c r="GH39" s="339"/>
      <c r="GI39" s="339"/>
      <c r="GJ39" s="339"/>
      <c r="GK39" s="339"/>
      <c r="GL39" s="339"/>
      <c r="GM39" s="339"/>
      <c r="GN39" s="339"/>
      <c r="GO39" s="339"/>
      <c r="GP39" s="339"/>
      <c r="GQ39" s="339"/>
      <c r="GR39" s="339"/>
      <c r="GS39" s="339"/>
      <c r="GT39" s="339"/>
      <c r="GU39" s="339"/>
      <c r="GV39" s="339"/>
      <c r="GW39" s="339"/>
      <c r="GX39" s="339"/>
      <c r="GY39" s="339"/>
      <c r="GZ39" s="339"/>
      <c r="HA39" s="339"/>
      <c r="HB39" s="339"/>
      <c r="HC39" s="339"/>
      <c r="HD39" s="339"/>
      <c r="HE39" s="339"/>
      <c r="HF39" s="339"/>
      <c r="HG39" s="339"/>
      <c r="HH39" s="339"/>
      <c r="HI39" s="339"/>
      <c r="HJ39" s="339"/>
      <c r="HK39" s="339"/>
      <c r="HL39" s="339"/>
      <c r="HM39" s="339"/>
      <c r="HN39" s="339"/>
      <c r="HO39" s="339"/>
      <c r="HP39" s="339"/>
      <c r="HQ39" s="339"/>
      <c r="HR39" s="339"/>
      <c r="HS39" s="339"/>
      <c r="HT39" s="339"/>
      <c r="HU39" s="339"/>
      <c r="HV39" s="339"/>
      <c r="HW39" s="339"/>
      <c r="HX39" s="339"/>
      <c r="HY39" s="339"/>
      <c r="HZ39" s="339"/>
      <c r="IA39" s="339"/>
      <c r="IB39" s="339"/>
      <c r="IC39" s="339"/>
      <c r="ID39" s="339"/>
      <c r="IE39" s="339"/>
      <c r="IF39" s="339"/>
      <c r="IG39" s="339"/>
      <c r="IH39" s="339"/>
      <c r="II39" s="339"/>
      <c r="IJ39" s="339"/>
      <c r="IK39" s="339"/>
      <c r="IL39" s="339"/>
      <c r="IM39" s="339"/>
      <c r="IN39" s="339"/>
      <c r="IO39" s="339"/>
      <c r="IP39" s="339"/>
      <c r="IQ39" s="339"/>
      <c r="IR39" s="339"/>
      <c r="IS39" s="339"/>
      <c r="IT39" s="339"/>
      <c r="IU39" s="339"/>
      <c r="IV39" s="339"/>
      <c r="IW39" s="339"/>
      <c r="IX39" s="339"/>
      <c r="IY39" s="339"/>
      <c r="IZ39" s="339"/>
      <c r="JA39" s="339"/>
      <c r="JB39" s="339"/>
      <c r="JC39" s="339"/>
      <c r="JD39" s="339"/>
      <c r="JE39" s="339"/>
      <c r="JF39" s="339"/>
      <c r="JG39" s="339"/>
      <c r="JH39" s="339"/>
      <c r="JI39" s="339"/>
      <c r="JJ39" s="339"/>
      <c r="JK39" s="339"/>
      <c r="JL39" s="339"/>
      <c r="JM39" s="339"/>
      <c r="JN39" s="339"/>
      <c r="JO39" s="339"/>
      <c r="JP39" s="339"/>
      <c r="JQ39" s="339"/>
      <c r="JR39" s="339"/>
      <c r="JS39" s="339"/>
      <c r="JT39" s="339"/>
      <c r="JU39" s="339"/>
      <c r="JV39" s="339"/>
      <c r="JW39" s="339"/>
      <c r="JX39" s="339"/>
      <c r="JY39" s="339"/>
      <c r="JZ39" s="339"/>
      <c r="KA39" s="339"/>
      <c r="KB39" s="339"/>
      <c r="KC39" s="339"/>
      <c r="KD39" s="339"/>
      <c r="KE39" s="339"/>
      <c r="KF39" s="339"/>
      <c r="KG39" s="339"/>
      <c r="KH39" s="339"/>
      <c r="KI39" s="339"/>
      <c r="KJ39" s="339"/>
      <c r="KK39" s="339"/>
      <c r="KL39" s="339"/>
      <c r="KM39" s="339"/>
      <c r="KN39" s="339"/>
    </row>
  </sheetData>
  <mergeCells count="7">
    <mergeCell ref="A19:D19"/>
    <mergeCell ref="A39:KN39"/>
    <mergeCell ref="C1"/>
    <mergeCell ref="A3:KN3"/>
    <mergeCell ref="A7:KN7"/>
    <mergeCell ref="A8:D8"/>
    <mergeCell ref="A18:KN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1570-48C9-4541-90E2-00F8B51CB435}">
  <dimension ref="A1:K25"/>
  <sheetViews>
    <sheetView zoomScaleNormal="100" workbookViewId="0">
      <selection activeCell="G13" sqref="G13:K20"/>
    </sheetView>
  </sheetViews>
  <sheetFormatPr defaultRowHeight="15"/>
  <cols>
    <col min="1" max="1" width="14.28515625" customWidth="1"/>
    <col min="2" max="2" width="10.42578125" customWidth="1"/>
    <col min="3" max="4" width="10.42578125" bestFit="1" customWidth="1"/>
    <col min="7" max="7" width="13.7109375" bestFit="1" customWidth="1"/>
    <col min="11" max="11" width="11.85546875" customWidth="1"/>
  </cols>
  <sheetData>
    <row r="1" spans="1:11">
      <c r="A1" s="342" t="s">
        <v>175</v>
      </c>
      <c r="B1" s="342"/>
      <c r="C1" s="342"/>
      <c r="D1" s="342"/>
      <c r="E1" s="342"/>
      <c r="F1" s="342"/>
      <c r="G1" s="342"/>
      <c r="H1" s="342"/>
      <c r="I1" s="342"/>
      <c r="J1" s="342"/>
    </row>
    <row r="2" spans="1:11">
      <c r="A2" t="s">
        <v>176</v>
      </c>
      <c r="B2" s="288">
        <v>10.58</v>
      </c>
    </row>
    <row r="3" spans="1:11" ht="15.75" thickBot="1">
      <c r="A3" s="37" t="s">
        <v>177</v>
      </c>
      <c r="B3" s="38">
        <v>4002954437</v>
      </c>
    </row>
    <row r="4" spans="1:11">
      <c r="A4" s="37" t="s">
        <v>178</v>
      </c>
      <c r="B4" s="286">
        <v>-0.49</v>
      </c>
    </row>
    <row r="5" spans="1:11">
      <c r="A5" s="37" t="s">
        <v>179</v>
      </c>
      <c r="B5" s="38">
        <v>6.95</v>
      </c>
    </row>
    <row r="6" spans="1:11">
      <c r="A6" s="343" t="s">
        <v>180</v>
      </c>
      <c r="B6" s="343"/>
      <c r="C6" s="343"/>
      <c r="D6" s="343"/>
      <c r="F6" s="342" t="s">
        <v>181</v>
      </c>
      <c r="G6" s="342"/>
      <c r="H6" s="342"/>
      <c r="I6" s="342"/>
    </row>
    <row r="7" spans="1:11">
      <c r="A7" s="37" t="s">
        <v>182</v>
      </c>
      <c r="B7" s="37" t="s">
        <v>183</v>
      </c>
      <c r="C7" s="37" t="s">
        <v>184</v>
      </c>
      <c r="D7" s="37" t="s">
        <v>185</v>
      </c>
      <c r="F7" s="37" t="s">
        <v>182</v>
      </c>
      <c r="G7" s="37" t="s">
        <v>183</v>
      </c>
      <c r="H7" s="37" t="s">
        <v>184</v>
      </c>
      <c r="I7" s="37" t="s">
        <v>185</v>
      </c>
      <c r="J7" s="37" t="s">
        <v>186</v>
      </c>
    </row>
    <row r="8" spans="1:11">
      <c r="A8" s="38" t="s">
        <v>18</v>
      </c>
      <c r="B8" s="3">
        <v>153926</v>
      </c>
      <c r="C8" s="3">
        <v>145386</v>
      </c>
      <c r="D8" s="3">
        <v>130380</v>
      </c>
      <c r="F8" s="38" t="s">
        <v>18</v>
      </c>
      <c r="G8" s="3">
        <v>0.75</v>
      </c>
      <c r="H8" s="3">
        <v>1.07</v>
      </c>
      <c r="I8" s="3">
        <v>1.29</v>
      </c>
      <c r="J8">
        <f>_xlfn.RRI(2,G8,I8)</f>
        <v>0.31148770486040012</v>
      </c>
    </row>
    <row r="9" spans="1:11">
      <c r="A9" t="s">
        <v>17</v>
      </c>
      <c r="B9" s="3">
        <v>162515.1</v>
      </c>
      <c r="C9" s="3">
        <v>171779.25</v>
      </c>
      <c r="D9" s="3">
        <v>173344.9</v>
      </c>
      <c r="F9" t="s">
        <v>17</v>
      </c>
      <c r="G9" s="3"/>
      <c r="H9" s="3"/>
      <c r="I9" s="3"/>
      <c r="J9">
        <f>_xlfn.RRI(2,G9,I9)</f>
        <v>0</v>
      </c>
    </row>
    <row r="10" spans="1:11">
      <c r="A10" t="s">
        <v>187</v>
      </c>
      <c r="B10" s="3">
        <v>162487.04999999999</v>
      </c>
      <c r="C10" s="3">
        <v>171103.99600000001</v>
      </c>
      <c r="D10" s="3">
        <v>166099.41428999999</v>
      </c>
      <c r="F10" t="s">
        <v>187</v>
      </c>
      <c r="G10" s="3">
        <v>1.2470000000000001</v>
      </c>
      <c r="H10" s="3">
        <v>1.7470000000000001</v>
      </c>
      <c r="I10" s="3">
        <v>1.64588</v>
      </c>
      <c r="J10">
        <f>_xlfn.RRI(2,G10,I10)</f>
        <v>0.14885668908743632</v>
      </c>
    </row>
    <row r="11" spans="1:11">
      <c r="A11" s="37" t="s">
        <v>19</v>
      </c>
      <c r="B11" s="3">
        <v>168195.7</v>
      </c>
      <c r="C11" s="3">
        <v>191300</v>
      </c>
      <c r="D11" s="3">
        <v>185871</v>
      </c>
      <c r="F11" s="37" t="s">
        <v>19</v>
      </c>
      <c r="G11" s="17">
        <v>1.47</v>
      </c>
      <c r="H11" s="3">
        <v>2.4</v>
      </c>
      <c r="I11" s="3">
        <v>1.86</v>
      </c>
      <c r="J11">
        <f>_xlfn.RRI(2,G11,I11)</f>
        <v>0.12485826771597308</v>
      </c>
    </row>
    <row r="12" spans="1:11" ht="9.75" customHeight="1">
      <c r="A12" s="37"/>
      <c r="B12" s="38"/>
    </row>
    <row r="13" spans="1:11" ht="33.75" customHeight="1">
      <c r="A13" s="345" t="s">
        <v>188</v>
      </c>
      <c r="B13" s="345"/>
      <c r="C13" s="345"/>
      <c r="D13" s="345"/>
      <c r="E13" s="345"/>
      <c r="G13" s="348" t="s">
        <v>189</v>
      </c>
      <c r="H13" s="349"/>
      <c r="I13" s="349"/>
      <c r="J13" s="349"/>
      <c r="K13" s="350"/>
    </row>
    <row r="14" spans="1:11" ht="27.75" customHeight="1">
      <c r="A14" s="327" t="s">
        <v>190</v>
      </c>
      <c r="B14" s="328">
        <v>10.050000000000001</v>
      </c>
      <c r="C14" s="344" t="s">
        <v>191</v>
      </c>
      <c r="D14" s="344"/>
      <c r="E14" s="344"/>
      <c r="G14" s="326" t="s">
        <v>190</v>
      </c>
      <c r="H14" s="328">
        <v>10.050000000000001</v>
      </c>
      <c r="I14" s="344" t="s">
        <v>191</v>
      </c>
      <c r="J14" s="344"/>
      <c r="K14" s="346"/>
    </row>
    <row r="15" spans="1:11">
      <c r="A15" s="351"/>
      <c r="B15" s="351"/>
      <c r="C15" s="289" t="s">
        <v>18</v>
      </c>
      <c r="D15" s="291" t="s">
        <v>192</v>
      </c>
      <c r="E15" s="309" t="s">
        <v>19</v>
      </c>
      <c r="G15" s="352"/>
      <c r="H15" s="351"/>
      <c r="I15" s="289" t="s">
        <v>18</v>
      </c>
      <c r="J15" s="291" t="s">
        <v>192</v>
      </c>
      <c r="K15" s="309" t="s">
        <v>19</v>
      </c>
    </row>
    <row r="16" spans="1:11">
      <c r="A16" s="344" t="s">
        <v>193</v>
      </c>
      <c r="B16" s="344"/>
      <c r="C16" s="322">
        <v>1.07</v>
      </c>
      <c r="D16" s="323">
        <v>1.7470000000000001</v>
      </c>
      <c r="E16" s="324">
        <v>2.4</v>
      </c>
      <c r="G16" s="347" t="s">
        <v>193</v>
      </c>
      <c r="H16" s="344"/>
      <c r="I16" s="322">
        <v>1.07</v>
      </c>
      <c r="J16" s="323">
        <v>1.7470000000000001</v>
      </c>
      <c r="K16" s="324">
        <v>2.4</v>
      </c>
    </row>
    <row r="17" spans="1:11">
      <c r="A17" s="293" t="s">
        <v>194</v>
      </c>
      <c r="B17" s="294">
        <v>5.7</v>
      </c>
      <c r="C17" s="325">
        <f>$B$17*C16</f>
        <v>6.0990000000000002</v>
      </c>
      <c r="D17" s="325">
        <f t="shared" ref="D17:E17" si="0">$B$17*D16</f>
        <v>9.9579000000000004</v>
      </c>
      <c r="E17" s="325">
        <f t="shared" si="0"/>
        <v>13.68</v>
      </c>
      <c r="G17" s="302" t="s">
        <v>194</v>
      </c>
      <c r="H17" s="294">
        <v>5.7</v>
      </c>
      <c r="I17" s="301">
        <f>(C17-$H$14)/$H$14</f>
        <v>-0.393134328358209</v>
      </c>
      <c r="J17" s="301">
        <f>(D17-$H$14)/$H$14</f>
        <v>-9.1641791044776398E-3</v>
      </c>
      <c r="K17" s="301">
        <f>(E17-$H$14)/$H$14</f>
        <v>0.36119402985074617</v>
      </c>
    </row>
    <row r="18" spans="1:11">
      <c r="A18" s="297" t="s">
        <v>195</v>
      </c>
      <c r="B18" s="298">
        <v>6.95</v>
      </c>
      <c r="C18" s="325">
        <f>B18*$C$16</f>
        <v>7.4365000000000006</v>
      </c>
      <c r="D18" s="325">
        <f>B18*D16</f>
        <v>12.14165</v>
      </c>
      <c r="E18" s="325">
        <f>B18*E16</f>
        <v>16.68</v>
      </c>
      <c r="G18" s="303" t="s">
        <v>195</v>
      </c>
      <c r="H18" s="298">
        <v>6.95</v>
      </c>
      <c r="I18" s="301">
        <f t="shared" ref="I18:I20" si="1">(C18-$H$14)/$H$14</f>
        <v>-0.2600497512437811</v>
      </c>
      <c r="J18" s="301">
        <f t="shared" ref="J18:J20" si="2">(D18-$H$14)/$H$14</f>
        <v>0.20812437810945267</v>
      </c>
      <c r="K18" s="301">
        <f t="shared" ref="K18:K20" si="3">(E18-$H$14)/$H$14</f>
        <v>0.65970149253731325</v>
      </c>
    </row>
    <row r="19" spans="1:11">
      <c r="A19" s="299" t="s">
        <v>196</v>
      </c>
      <c r="B19" s="300">
        <f>B5*(1+J10)</f>
        <v>7.9845539891576829</v>
      </c>
      <c r="C19" s="325">
        <f>B19*$C$16</f>
        <v>8.5434727683987219</v>
      </c>
      <c r="D19" s="325">
        <f>B19*D16</f>
        <v>13.949015819058474</v>
      </c>
      <c r="E19" s="325">
        <f>B19*E16</f>
        <v>19.162929573978438</v>
      </c>
      <c r="G19" s="304" t="s">
        <v>196</v>
      </c>
      <c r="H19" s="300">
        <v>7.9845539891576829</v>
      </c>
      <c r="I19" s="301">
        <f t="shared" si="1"/>
        <v>-0.14990320712450533</v>
      </c>
      <c r="J19" s="301">
        <f t="shared" si="2"/>
        <v>0.38796177304064405</v>
      </c>
      <c r="K19" s="301">
        <f t="shared" si="3"/>
        <v>0.90675916158989422</v>
      </c>
    </row>
    <row r="20" spans="1:11">
      <c r="A20" s="295" t="s">
        <v>197</v>
      </c>
      <c r="B20" s="296">
        <v>8.1999999999999993</v>
      </c>
      <c r="C20" s="325">
        <f>$B$20*C16</f>
        <v>8.7739999999999991</v>
      </c>
      <c r="D20" s="325">
        <f t="shared" ref="D20:E20" si="4">$B$20*D16</f>
        <v>14.3254</v>
      </c>
      <c r="E20" s="325">
        <f t="shared" si="4"/>
        <v>19.679999999999996</v>
      </c>
      <c r="G20" s="305" t="s">
        <v>197</v>
      </c>
      <c r="H20" s="296">
        <v>8.1999999999999993</v>
      </c>
      <c r="I20" s="301">
        <f t="shared" si="1"/>
        <v>-0.12696517412935338</v>
      </c>
      <c r="J20" s="301">
        <f t="shared" si="2"/>
        <v>0.42541293532338298</v>
      </c>
      <c r="K20" s="301">
        <f t="shared" si="3"/>
        <v>0.95820895522388005</v>
      </c>
    </row>
    <row r="23" spans="1:11" ht="15.75" thickBot="1"/>
    <row r="24" spans="1:11" ht="15.75" thickBot="1">
      <c r="B24" s="286">
        <v>0.31</v>
      </c>
    </row>
    <row r="25" spans="1:11">
      <c r="A25" s="286">
        <v>2.94</v>
      </c>
      <c r="C25" s="286">
        <v>1.84</v>
      </c>
      <c r="D25" s="286">
        <v>1.1499999999999999</v>
      </c>
      <c r="E25" s="286">
        <v>1.8</v>
      </c>
      <c r="F25" s="286">
        <v>0.89</v>
      </c>
      <c r="G25" s="286">
        <v>0.04</v>
      </c>
      <c r="H25" s="286">
        <v>-0.32</v>
      </c>
      <c r="I25" s="286">
        <v>4.45</v>
      </c>
      <c r="J25" s="286">
        <v>-0.49</v>
      </c>
    </row>
  </sheetData>
  <mergeCells count="11">
    <mergeCell ref="A1:J1"/>
    <mergeCell ref="A6:D6"/>
    <mergeCell ref="F6:I6"/>
    <mergeCell ref="A16:B16"/>
    <mergeCell ref="C14:E14"/>
    <mergeCell ref="A13:E13"/>
    <mergeCell ref="I14:K14"/>
    <mergeCell ref="G16:H16"/>
    <mergeCell ref="G13:K13"/>
    <mergeCell ref="A15:B15"/>
    <mergeCell ref="G15:H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5EF6-4862-4E2F-A100-1F0B04CF73C9}">
  <dimension ref="A1:L25"/>
  <sheetViews>
    <sheetView tabSelected="1" zoomScaleNormal="100" workbookViewId="0">
      <selection activeCell="G13" sqref="G13:K20"/>
    </sheetView>
  </sheetViews>
  <sheetFormatPr defaultRowHeight="15"/>
  <cols>
    <col min="1" max="1" width="14.85546875" customWidth="1"/>
    <col min="2" max="2" width="9.140625" customWidth="1"/>
    <col min="3" max="3" width="14.85546875" bestFit="1" customWidth="1"/>
    <col min="4" max="4" width="13.7109375" customWidth="1"/>
    <col min="5" max="5" width="12.7109375" customWidth="1"/>
    <col min="7" max="7" width="14.7109375" customWidth="1"/>
    <col min="8" max="8" width="8.140625" customWidth="1"/>
    <col min="9" max="10" width="12" bestFit="1" customWidth="1"/>
    <col min="11" max="11" width="12.5703125" bestFit="1" customWidth="1"/>
  </cols>
  <sheetData>
    <row r="1" spans="1:12">
      <c r="A1" s="342" t="s">
        <v>175</v>
      </c>
      <c r="B1" s="342"/>
      <c r="C1" s="342"/>
      <c r="D1" s="342"/>
      <c r="E1" s="342"/>
      <c r="F1" s="342"/>
      <c r="G1" s="342"/>
      <c r="H1" s="342"/>
      <c r="I1" s="342"/>
      <c r="J1" s="342"/>
    </row>
    <row r="2" spans="1:12">
      <c r="A2" t="s">
        <v>176</v>
      </c>
      <c r="B2" s="288">
        <v>10.58</v>
      </c>
      <c r="D2" s="311">
        <v>1000000</v>
      </c>
    </row>
    <row r="3" spans="1:12" ht="15.75" thickBot="1">
      <c r="A3" s="37" t="s">
        <v>177</v>
      </c>
      <c r="B3" s="38">
        <v>4002954437</v>
      </c>
      <c r="D3" s="312">
        <f>D11*D2</f>
        <v>185871000000</v>
      </c>
    </row>
    <row r="4" spans="1:12">
      <c r="A4" s="37" t="s">
        <v>198</v>
      </c>
      <c r="B4" s="307">
        <v>158057000000</v>
      </c>
      <c r="C4" s="265"/>
      <c r="D4" s="311">
        <f>D9*1000000</f>
        <v>173344900000</v>
      </c>
    </row>
    <row r="5" spans="1:12" ht="30">
      <c r="A5" s="306" t="s">
        <v>199</v>
      </c>
      <c r="B5" s="308">
        <f>(B3*B2)/(B8*1000000)</f>
        <v>0.2751403787759053</v>
      </c>
    </row>
    <row r="6" spans="1:12">
      <c r="A6" s="355" t="s">
        <v>200</v>
      </c>
      <c r="B6" s="355"/>
      <c r="C6" s="355"/>
      <c r="D6" s="355"/>
      <c r="G6" s="342" t="s">
        <v>201</v>
      </c>
      <c r="H6" s="342"/>
      <c r="I6" s="342"/>
      <c r="J6" s="342"/>
      <c r="K6" s="342"/>
    </row>
    <row r="7" spans="1:12">
      <c r="A7" s="37" t="s">
        <v>182</v>
      </c>
      <c r="B7" s="318" t="s">
        <v>183</v>
      </c>
      <c r="C7" s="318" t="s">
        <v>184</v>
      </c>
      <c r="D7" s="318" t="s">
        <v>185</v>
      </c>
      <c r="E7" s="317" t="s">
        <v>186</v>
      </c>
      <c r="G7" s="37" t="s">
        <v>182</v>
      </c>
      <c r="H7" s="37" t="s">
        <v>183</v>
      </c>
      <c r="I7" s="37" t="s">
        <v>184</v>
      </c>
      <c r="J7" s="37" t="s">
        <v>185</v>
      </c>
      <c r="K7" s="37" t="s">
        <v>186</v>
      </c>
    </row>
    <row r="8" spans="1:12">
      <c r="A8" s="38" t="s">
        <v>18</v>
      </c>
      <c r="B8" s="319">
        <v>153926</v>
      </c>
      <c r="C8" s="319">
        <v>145386</v>
      </c>
      <c r="D8" s="319">
        <v>130380</v>
      </c>
      <c r="G8" s="38" t="s">
        <v>18</v>
      </c>
      <c r="H8" s="3">
        <v>0.24</v>
      </c>
      <c r="I8" s="3">
        <v>0.24</v>
      </c>
      <c r="J8" s="3">
        <v>0.22</v>
      </c>
      <c r="K8" s="287">
        <f>_xlfn.RRI(2,H8,J8)</f>
        <v>-4.2572892243661897E-2</v>
      </c>
    </row>
    <row r="9" spans="1:12">
      <c r="A9" t="s">
        <v>17</v>
      </c>
      <c r="B9" s="320">
        <v>162515.1</v>
      </c>
      <c r="C9" s="320">
        <v>171779.25</v>
      </c>
      <c r="D9" s="320">
        <v>173344.9</v>
      </c>
      <c r="E9">
        <f>_xlfn.RRI(3, B4,D4)</f>
        <v>3.1254313379674548E-2</v>
      </c>
      <c r="G9" t="s">
        <v>17</v>
      </c>
      <c r="H9" s="3">
        <v>0.27</v>
      </c>
      <c r="I9" s="3">
        <v>0.27</v>
      </c>
      <c r="J9" s="3">
        <v>0.26</v>
      </c>
      <c r="K9" s="287">
        <f>_xlfn.RRI(2,H9,J9)</f>
        <v>-1.8693237074683733E-2</v>
      </c>
    </row>
    <row r="10" spans="1:12">
      <c r="A10" t="s">
        <v>187</v>
      </c>
      <c r="B10" s="320">
        <v>162487.04999999999</v>
      </c>
      <c r="C10" s="320">
        <v>171103.99600000001</v>
      </c>
      <c r="D10" s="320">
        <v>166099.41428999999</v>
      </c>
      <c r="G10" t="s">
        <v>187</v>
      </c>
      <c r="H10" s="3">
        <v>0.27</v>
      </c>
      <c r="I10" s="3">
        <v>0.27</v>
      </c>
      <c r="J10" s="3">
        <v>0.26</v>
      </c>
      <c r="K10" s="287">
        <f>_xlfn.RRI(2,H10,J10)</f>
        <v>-1.8693237074683733E-2</v>
      </c>
    </row>
    <row r="11" spans="1:12">
      <c r="A11" s="37" t="s">
        <v>19</v>
      </c>
      <c r="B11" s="321">
        <v>168195.7</v>
      </c>
      <c r="C11" s="321">
        <v>191300</v>
      </c>
      <c r="D11" s="321">
        <v>185871</v>
      </c>
      <c r="E11">
        <f>_xlfn.RRI(3,B4,D3)</f>
        <v>5.5518785368205981E-2</v>
      </c>
      <c r="G11" s="37" t="s">
        <v>19</v>
      </c>
      <c r="H11" s="17">
        <v>0.3</v>
      </c>
      <c r="I11" s="17">
        <v>0.3</v>
      </c>
      <c r="J11" s="3">
        <v>0.3</v>
      </c>
      <c r="K11" s="287">
        <f>_xlfn.RRI(2,H11,J11)</f>
        <v>0</v>
      </c>
    </row>
    <row r="12" spans="1:12">
      <c r="A12" s="37"/>
      <c r="B12" s="38"/>
      <c r="G12" s="330"/>
    </row>
    <row r="13" spans="1:12" ht="33" customHeight="1">
      <c r="A13" s="356" t="s">
        <v>188</v>
      </c>
      <c r="B13" s="357"/>
      <c r="C13" s="357"/>
      <c r="D13" s="357"/>
      <c r="E13" s="358"/>
      <c r="F13" s="334"/>
      <c r="G13" s="359" t="s">
        <v>189</v>
      </c>
      <c r="H13" s="360"/>
      <c r="I13" s="360"/>
      <c r="J13" s="360"/>
      <c r="K13" s="361"/>
      <c r="L13" s="331"/>
    </row>
    <row r="14" spans="1:12" ht="27.75" customHeight="1">
      <c r="A14" s="333" t="s">
        <v>190</v>
      </c>
      <c r="B14" s="332">
        <v>10.050000000000001</v>
      </c>
      <c r="C14" s="362" t="s">
        <v>202</v>
      </c>
      <c r="D14" s="363"/>
      <c r="E14" s="363"/>
      <c r="G14" s="326" t="s">
        <v>190</v>
      </c>
      <c r="H14" s="329">
        <v>10.050000000000001</v>
      </c>
      <c r="I14" s="344" t="s">
        <v>202</v>
      </c>
      <c r="J14" s="344"/>
      <c r="K14" s="344"/>
    </row>
    <row r="15" spans="1:12">
      <c r="A15" s="353"/>
      <c r="B15" s="354"/>
      <c r="C15" s="289" t="s">
        <v>18</v>
      </c>
      <c r="D15" s="291" t="s">
        <v>192</v>
      </c>
      <c r="E15" s="309" t="s">
        <v>19</v>
      </c>
      <c r="G15" s="353"/>
      <c r="H15" s="354"/>
      <c r="I15" s="289" t="s">
        <v>18</v>
      </c>
      <c r="J15" s="291" t="s">
        <v>192</v>
      </c>
      <c r="K15" s="309" t="s">
        <v>19</v>
      </c>
    </row>
    <row r="16" spans="1:12">
      <c r="A16" s="344" t="s">
        <v>203</v>
      </c>
      <c r="B16" s="344"/>
      <c r="C16" s="335">
        <v>145386</v>
      </c>
      <c r="D16" s="336">
        <v>171103.99600000001</v>
      </c>
      <c r="E16" s="337">
        <v>191300</v>
      </c>
      <c r="G16" s="347" t="s">
        <v>203</v>
      </c>
      <c r="H16" s="344"/>
      <c r="I16" s="290">
        <v>145386</v>
      </c>
      <c r="J16" s="292">
        <v>171103.99600000001</v>
      </c>
      <c r="K16" s="310">
        <v>191300</v>
      </c>
    </row>
    <row r="17" spans="1:11">
      <c r="A17" s="293" t="s">
        <v>194</v>
      </c>
      <c r="B17" s="316">
        <v>0.24</v>
      </c>
      <c r="C17" s="338">
        <f>B17*$C$16/$B$3*$D$2</f>
        <v>8.7167217486867425</v>
      </c>
      <c r="D17" s="338">
        <f>B17*$D$16/$B$3*$D$2</f>
        <v>10.25866261689853</v>
      </c>
      <c r="E17" s="338">
        <f>B17*$E$16/$B$3*$D$2</f>
        <v>11.469528500156645</v>
      </c>
      <c r="G17" s="302" t="s">
        <v>194</v>
      </c>
      <c r="H17" s="316">
        <v>0.24</v>
      </c>
      <c r="I17" s="301">
        <f>(C17-$H$14)/$H$14</f>
        <v>-0.13266450261823465</v>
      </c>
      <c r="J17" s="301">
        <f>(D17-$H$14)/$H$14</f>
        <v>2.0762449442639705E-2</v>
      </c>
      <c r="K17" s="301">
        <f>(E17-$H$14)/$H$14</f>
        <v>0.1412466169310094</v>
      </c>
    </row>
    <row r="18" spans="1:11">
      <c r="A18" s="297" t="s">
        <v>195</v>
      </c>
      <c r="B18" s="315">
        <f>B5</f>
        <v>0.2751403787759053</v>
      </c>
      <c r="C18" s="338">
        <f>B18*$C$16/$B$3*$D$2</f>
        <v>9.9930088484076762</v>
      </c>
      <c r="D18" s="338">
        <f>B18*$D$16/$B$3*$D$2</f>
        <v>11.760717992282007</v>
      </c>
      <c r="E18" s="338">
        <f t="shared" ref="E18:E20" si="0">B18*$E$16/$B$3*$D$2</f>
        <v>13.148876732975586</v>
      </c>
      <c r="G18" s="303" t="s">
        <v>195</v>
      </c>
      <c r="H18" s="315">
        <v>0.2751403787759053</v>
      </c>
      <c r="I18" s="301">
        <f t="shared" ref="I18:K20" si="1">(C18-$H$14)/$H$14</f>
        <v>-5.6707613524700972E-3</v>
      </c>
      <c r="J18" s="301">
        <f t="shared" si="1"/>
        <v>0.17022069574945339</v>
      </c>
      <c r="K18" s="301">
        <f t="shared" si="1"/>
        <v>0.30834594357966016</v>
      </c>
    </row>
    <row r="19" spans="1:11">
      <c r="A19" s="299" t="s">
        <v>196</v>
      </c>
      <c r="B19" s="314">
        <f>B5*(1+E9)</f>
        <v>0.28373970239756979</v>
      </c>
      <c r="C19" s="338">
        <f t="shared" ref="C19:C20" si="2">B19*$C$16/$B$3*$D$2</f>
        <v>10.305333478561669</v>
      </c>
      <c r="D19" s="338">
        <f t="shared" ref="D19:D20" si="3">B19*$D$16/$B$3*$D$2</f>
        <v>12.128291157982765</v>
      </c>
      <c r="E19" s="338">
        <f t="shared" si="0"/>
        <v>13.559835846978714</v>
      </c>
      <c r="G19" s="304" t="s">
        <v>196</v>
      </c>
      <c r="H19" s="314">
        <v>0.28373970239756979</v>
      </c>
      <c r="I19" s="301">
        <f t="shared" si="1"/>
        <v>2.5406316274792909E-2</v>
      </c>
      <c r="J19" s="301">
        <f t="shared" si="1"/>
        <v>0.20679514009778752</v>
      </c>
      <c r="K19" s="301">
        <f t="shared" si="1"/>
        <v>0.34923739770932472</v>
      </c>
    </row>
    <row r="20" spans="1:11">
      <c r="A20" s="295" t="s">
        <v>197</v>
      </c>
      <c r="B20" s="313">
        <f>B5*(1+E11)</f>
        <v>0.2904158384112917</v>
      </c>
      <c r="C20" s="338">
        <f t="shared" si="2"/>
        <v>10.547808561845006</v>
      </c>
      <c r="D20" s="338">
        <f t="shared" si="3"/>
        <v>12.41365877027151</v>
      </c>
      <c r="E20" s="338">
        <f t="shared" si="0"/>
        <v>13.878886398146655</v>
      </c>
      <c r="G20" s="305" t="s">
        <v>197</v>
      </c>
      <c r="H20" s="313">
        <v>0.2904158384112917</v>
      </c>
      <c r="I20" s="301">
        <f t="shared" si="1"/>
        <v>4.953319023333385E-2</v>
      </c>
      <c r="J20" s="301">
        <f t="shared" si="1"/>
        <v>0.23518992739019995</v>
      </c>
      <c r="K20" s="301">
        <f t="shared" si="1"/>
        <v>0.38098372120862228</v>
      </c>
    </row>
    <row r="23" spans="1:11" ht="15.75" thickBot="1"/>
    <row r="24" spans="1:11" ht="15.75" thickBot="1">
      <c r="B24" s="286">
        <v>0.31</v>
      </c>
    </row>
    <row r="25" spans="1:11">
      <c r="A25" s="286">
        <v>2.94</v>
      </c>
      <c r="C25" s="286">
        <v>1.84</v>
      </c>
      <c r="D25" s="286">
        <v>1.1499999999999999</v>
      </c>
      <c r="E25" s="286">
        <v>1.8</v>
      </c>
      <c r="F25" s="286">
        <v>0.89</v>
      </c>
      <c r="G25" s="286">
        <v>0.04</v>
      </c>
      <c r="H25" s="286">
        <v>-0.32</v>
      </c>
      <c r="I25" s="286">
        <v>4.45</v>
      </c>
      <c r="J25" s="286">
        <v>-0.49</v>
      </c>
    </row>
  </sheetData>
  <mergeCells count="11">
    <mergeCell ref="A1:J1"/>
    <mergeCell ref="A6:D6"/>
    <mergeCell ref="A13:E13"/>
    <mergeCell ref="G13:K13"/>
    <mergeCell ref="C14:E14"/>
    <mergeCell ref="I14:K14"/>
    <mergeCell ref="A15:B15"/>
    <mergeCell ref="G15:H15"/>
    <mergeCell ref="A16:B16"/>
    <mergeCell ref="G16:H16"/>
    <mergeCell ref="G6:K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21BC-345B-4A58-AC85-49A9AE631A59}">
  <sheetPr>
    <outlinePr summaryBelow="0"/>
  </sheetPr>
  <dimension ref="A1:KN30"/>
  <sheetViews>
    <sheetView workbookViewId="0">
      <selection activeCell="B8" sqref="B8:C8"/>
    </sheetView>
  </sheetViews>
  <sheetFormatPr defaultRowHeight="15"/>
  <cols>
    <col min="1" max="1" width="2.5703125" bestFit="1" customWidth="1"/>
    <col min="2" max="2" width="50" bestFit="1" customWidth="1"/>
    <col min="3" max="3" width="31.42578125" bestFit="1" customWidth="1"/>
    <col min="4" max="301" width="20.7109375" bestFit="1" customWidth="1"/>
  </cols>
  <sheetData>
    <row r="1" spans="1:300">
      <c r="A1" s="1" t="s">
        <v>1</v>
      </c>
      <c r="B1" s="2" t="s">
        <v>2</v>
      </c>
      <c r="C1" s="2" t="s">
        <v>3</v>
      </c>
    </row>
    <row r="2" spans="1:300">
      <c r="A2" s="1" t="s">
        <v>1</v>
      </c>
      <c r="B2" s="2" t="s">
        <v>4</v>
      </c>
      <c r="C2" s="1" t="s">
        <v>5</v>
      </c>
    </row>
    <row r="3" spans="1:300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BZ3" s="339"/>
      <c r="CA3" s="339"/>
      <c r="CB3" s="339"/>
      <c r="CC3" s="339"/>
      <c r="CD3" s="339"/>
      <c r="CE3" s="339"/>
      <c r="CF3" s="339"/>
      <c r="CG3" s="339"/>
      <c r="CH3" s="339"/>
      <c r="CI3" s="339"/>
      <c r="CJ3" s="339"/>
      <c r="CK3" s="339"/>
      <c r="CL3" s="339"/>
      <c r="CM3" s="339"/>
      <c r="CN3" s="339"/>
      <c r="CO3" s="339"/>
      <c r="CP3" s="339"/>
      <c r="CQ3" s="339"/>
      <c r="CR3" s="339"/>
      <c r="CS3" s="339"/>
      <c r="CT3" s="339"/>
      <c r="CU3" s="339"/>
      <c r="CV3" s="339"/>
      <c r="CW3" s="339"/>
      <c r="CX3" s="339"/>
      <c r="CY3" s="339"/>
      <c r="CZ3" s="339"/>
      <c r="DA3" s="339"/>
      <c r="DB3" s="339"/>
      <c r="DC3" s="339"/>
      <c r="DD3" s="339"/>
      <c r="DE3" s="339"/>
      <c r="DF3" s="339"/>
      <c r="DG3" s="339"/>
      <c r="DH3" s="339"/>
      <c r="DI3" s="339"/>
      <c r="DJ3" s="339"/>
      <c r="DK3" s="339"/>
      <c r="DL3" s="339"/>
      <c r="DM3" s="339"/>
      <c r="DN3" s="339"/>
      <c r="DO3" s="339"/>
      <c r="DP3" s="339"/>
      <c r="DQ3" s="339"/>
      <c r="DR3" s="339"/>
      <c r="DS3" s="339"/>
      <c r="DT3" s="339"/>
      <c r="DU3" s="339"/>
      <c r="DV3" s="339"/>
      <c r="DW3" s="339"/>
      <c r="DX3" s="339"/>
      <c r="DY3" s="339"/>
      <c r="DZ3" s="339"/>
      <c r="EA3" s="339"/>
      <c r="EB3" s="339"/>
      <c r="EC3" s="339"/>
      <c r="ED3" s="339"/>
      <c r="EE3" s="339"/>
      <c r="EF3" s="339"/>
      <c r="EG3" s="339"/>
      <c r="EH3" s="339"/>
      <c r="EI3" s="339"/>
      <c r="EJ3" s="339"/>
      <c r="EK3" s="339"/>
      <c r="EL3" s="339"/>
      <c r="EM3" s="339"/>
      <c r="EN3" s="339"/>
      <c r="EO3" s="339"/>
      <c r="EP3" s="339"/>
      <c r="EQ3" s="339"/>
      <c r="ER3" s="339"/>
      <c r="ES3" s="339"/>
      <c r="ET3" s="339"/>
      <c r="EU3" s="339"/>
      <c r="EV3" s="339"/>
      <c r="EW3" s="339"/>
      <c r="EX3" s="339"/>
      <c r="EY3" s="339"/>
      <c r="EZ3" s="339"/>
      <c r="FA3" s="339"/>
      <c r="FB3" s="339"/>
      <c r="FC3" s="339"/>
      <c r="FD3" s="339"/>
      <c r="FE3" s="339"/>
      <c r="FF3" s="339"/>
      <c r="FG3" s="339"/>
      <c r="FH3" s="339"/>
      <c r="FI3" s="339"/>
      <c r="FJ3" s="339"/>
      <c r="FK3" s="339"/>
      <c r="FL3" s="339"/>
      <c r="FM3" s="339"/>
      <c r="FN3" s="339"/>
      <c r="FO3" s="339"/>
      <c r="FP3" s="339"/>
      <c r="FQ3" s="339"/>
      <c r="FR3" s="339"/>
      <c r="FS3" s="339"/>
      <c r="FT3" s="339"/>
      <c r="FU3" s="339"/>
      <c r="FV3" s="339"/>
      <c r="FW3" s="339"/>
      <c r="FX3" s="339"/>
      <c r="FY3" s="339"/>
      <c r="FZ3" s="339"/>
      <c r="GA3" s="339"/>
      <c r="GB3" s="339"/>
      <c r="GC3" s="339"/>
      <c r="GD3" s="339"/>
      <c r="GE3" s="339"/>
      <c r="GF3" s="339"/>
      <c r="GG3" s="339"/>
      <c r="GH3" s="339"/>
      <c r="GI3" s="339"/>
      <c r="GJ3" s="339"/>
      <c r="GK3" s="339"/>
      <c r="GL3" s="339"/>
      <c r="GM3" s="339"/>
      <c r="GN3" s="339"/>
      <c r="GO3" s="339"/>
      <c r="GP3" s="339"/>
      <c r="GQ3" s="339"/>
      <c r="GR3" s="339"/>
      <c r="GS3" s="339"/>
      <c r="GT3" s="339"/>
      <c r="GU3" s="339"/>
      <c r="GV3" s="339"/>
      <c r="GW3" s="339"/>
      <c r="GX3" s="339"/>
      <c r="GY3" s="339"/>
      <c r="GZ3" s="339"/>
      <c r="HA3" s="339"/>
      <c r="HB3" s="339"/>
      <c r="HC3" s="339"/>
      <c r="HD3" s="339"/>
      <c r="HE3" s="339"/>
      <c r="HF3" s="339"/>
      <c r="HG3" s="339"/>
      <c r="HH3" s="339"/>
      <c r="HI3" s="339"/>
      <c r="HJ3" s="339"/>
      <c r="HK3" s="339"/>
      <c r="HL3" s="339"/>
      <c r="HM3" s="339"/>
      <c r="HN3" s="339"/>
      <c r="HO3" s="339"/>
      <c r="HP3" s="339"/>
      <c r="HQ3" s="339"/>
      <c r="HR3" s="339"/>
      <c r="HS3" s="339"/>
      <c r="HT3" s="339"/>
      <c r="HU3" s="339"/>
      <c r="HV3" s="339"/>
      <c r="HW3" s="339"/>
      <c r="HX3" s="339"/>
      <c r="HY3" s="339"/>
      <c r="HZ3" s="339"/>
      <c r="IA3" s="339"/>
      <c r="IB3" s="339"/>
      <c r="IC3" s="339"/>
      <c r="ID3" s="339"/>
      <c r="IE3" s="339"/>
      <c r="IF3" s="339"/>
      <c r="IG3" s="339"/>
      <c r="IH3" s="339"/>
      <c r="II3" s="339"/>
      <c r="IJ3" s="339"/>
      <c r="IK3" s="339"/>
      <c r="IL3" s="339"/>
      <c r="IM3" s="339"/>
      <c r="IN3" s="339"/>
      <c r="IO3" s="339"/>
      <c r="IP3" s="339"/>
      <c r="IQ3" s="339"/>
      <c r="IR3" s="339"/>
      <c r="IS3" s="339"/>
      <c r="IT3" s="339"/>
      <c r="IU3" s="339"/>
      <c r="IV3" s="339"/>
      <c r="IW3" s="339"/>
      <c r="IX3" s="339"/>
      <c r="IY3" s="339"/>
      <c r="IZ3" s="339"/>
      <c r="JA3" s="339"/>
      <c r="JB3" s="339"/>
      <c r="JC3" s="339"/>
      <c r="JD3" s="339"/>
      <c r="JE3" s="339"/>
      <c r="JF3" s="339"/>
      <c r="JG3" s="339"/>
      <c r="JH3" s="339"/>
      <c r="JI3" s="339"/>
      <c r="JJ3" s="339"/>
      <c r="JK3" s="339"/>
      <c r="JL3" s="339"/>
      <c r="JM3" s="339"/>
      <c r="JN3" s="339"/>
      <c r="JO3" s="339"/>
      <c r="JP3" s="339"/>
      <c r="JQ3" s="339"/>
      <c r="JR3" s="339"/>
      <c r="JS3" s="339"/>
      <c r="JT3" s="339"/>
      <c r="JU3" s="339"/>
      <c r="JV3" s="339"/>
      <c r="JW3" s="339"/>
      <c r="JX3" s="339"/>
      <c r="JY3" s="339"/>
      <c r="JZ3" s="339"/>
      <c r="KA3" s="339"/>
      <c r="KB3" s="339"/>
      <c r="KC3" s="339"/>
      <c r="KD3" s="339"/>
      <c r="KE3" s="339"/>
      <c r="KF3" s="339"/>
      <c r="KG3" s="339"/>
      <c r="KH3" s="339"/>
      <c r="KI3" s="339"/>
      <c r="KJ3" s="339"/>
      <c r="KK3" s="339"/>
      <c r="KL3" s="339"/>
      <c r="KM3" s="339"/>
      <c r="KN3" s="339"/>
    </row>
    <row r="4" spans="1:300">
      <c r="A4" s="1" t="s">
        <v>1</v>
      </c>
      <c r="B4" s="2" t="s">
        <v>6</v>
      </c>
      <c r="C4" s="1" t="s">
        <v>204</v>
      </c>
    </row>
    <row r="5" spans="1:300">
      <c r="A5" s="1" t="s">
        <v>1</v>
      </c>
      <c r="B5" s="2" t="s">
        <v>8</v>
      </c>
      <c r="C5" s="1" t="s">
        <v>9</v>
      </c>
    </row>
    <row r="6" spans="1:300">
      <c r="A6" s="1" t="s">
        <v>1</v>
      </c>
      <c r="B6" s="2" t="s">
        <v>10</v>
      </c>
      <c r="C6" s="1" t="s">
        <v>11</v>
      </c>
    </row>
    <row r="7" spans="1:300">
      <c r="A7" s="339" t="s">
        <v>1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339"/>
      <c r="CK7" s="339"/>
      <c r="CL7" s="339"/>
      <c r="CM7" s="339"/>
      <c r="CN7" s="339"/>
      <c r="CO7" s="339"/>
      <c r="CP7" s="339"/>
      <c r="CQ7" s="339"/>
      <c r="CR7" s="339"/>
      <c r="CS7" s="339"/>
      <c r="CT7" s="339"/>
      <c r="CU7" s="339"/>
      <c r="CV7" s="339"/>
      <c r="CW7" s="339"/>
      <c r="CX7" s="339"/>
      <c r="CY7" s="339"/>
      <c r="CZ7" s="339"/>
      <c r="DA7" s="339"/>
      <c r="DB7" s="339"/>
      <c r="DC7" s="339"/>
      <c r="DD7" s="339"/>
      <c r="DE7" s="339"/>
      <c r="DF7" s="339"/>
      <c r="DG7" s="339"/>
      <c r="DH7" s="339"/>
      <c r="DI7" s="339"/>
      <c r="DJ7" s="339"/>
      <c r="DK7" s="339"/>
      <c r="DL7" s="339"/>
      <c r="DM7" s="339"/>
      <c r="DN7" s="339"/>
      <c r="DO7" s="339"/>
      <c r="DP7" s="339"/>
      <c r="DQ7" s="339"/>
      <c r="DR7" s="339"/>
      <c r="DS7" s="339"/>
      <c r="DT7" s="339"/>
      <c r="DU7" s="339"/>
      <c r="DV7" s="339"/>
      <c r="DW7" s="339"/>
      <c r="DX7" s="339"/>
      <c r="DY7" s="339"/>
      <c r="DZ7" s="339"/>
      <c r="EA7" s="339"/>
      <c r="EB7" s="339"/>
      <c r="EC7" s="339"/>
      <c r="ED7" s="339"/>
      <c r="EE7" s="339"/>
      <c r="EF7" s="339"/>
      <c r="EG7" s="339"/>
      <c r="EH7" s="339"/>
      <c r="EI7" s="339"/>
      <c r="EJ7" s="339"/>
      <c r="EK7" s="339"/>
      <c r="EL7" s="339"/>
      <c r="EM7" s="339"/>
      <c r="EN7" s="339"/>
      <c r="EO7" s="339"/>
      <c r="EP7" s="339"/>
      <c r="EQ7" s="339"/>
      <c r="ER7" s="339"/>
      <c r="ES7" s="339"/>
      <c r="ET7" s="339"/>
      <c r="EU7" s="339"/>
      <c r="EV7" s="339"/>
      <c r="EW7" s="339"/>
      <c r="EX7" s="339"/>
      <c r="EY7" s="339"/>
      <c r="EZ7" s="339"/>
      <c r="FA7" s="339"/>
      <c r="FB7" s="339"/>
      <c r="FC7" s="339"/>
      <c r="FD7" s="339"/>
      <c r="FE7" s="339"/>
      <c r="FF7" s="339"/>
      <c r="FG7" s="339"/>
      <c r="FH7" s="339"/>
      <c r="FI7" s="339"/>
      <c r="FJ7" s="339"/>
      <c r="FK7" s="339"/>
      <c r="FL7" s="339"/>
      <c r="FM7" s="339"/>
      <c r="FN7" s="339"/>
      <c r="FO7" s="339"/>
      <c r="FP7" s="339"/>
      <c r="FQ7" s="339"/>
      <c r="FR7" s="339"/>
      <c r="FS7" s="339"/>
      <c r="FT7" s="339"/>
      <c r="FU7" s="339"/>
      <c r="FV7" s="339"/>
      <c r="FW7" s="339"/>
      <c r="FX7" s="339"/>
      <c r="FY7" s="339"/>
      <c r="FZ7" s="339"/>
      <c r="GA7" s="339"/>
      <c r="GB7" s="339"/>
      <c r="GC7" s="339"/>
      <c r="GD7" s="339"/>
      <c r="GE7" s="339"/>
      <c r="GF7" s="339"/>
      <c r="GG7" s="339"/>
      <c r="GH7" s="339"/>
      <c r="GI7" s="339"/>
      <c r="GJ7" s="339"/>
      <c r="GK7" s="339"/>
      <c r="GL7" s="339"/>
      <c r="GM7" s="339"/>
      <c r="GN7" s="339"/>
      <c r="GO7" s="339"/>
      <c r="GP7" s="339"/>
      <c r="GQ7" s="339"/>
      <c r="GR7" s="339"/>
      <c r="GS7" s="339"/>
      <c r="GT7" s="339"/>
      <c r="GU7" s="339"/>
      <c r="GV7" s="339"/>
      <c r="GW7" s="339"/>
      <c r="GX7" s="339"/>
      <c r="GY7" s="339"/>
      <c r="GZ7" s="339"/>
      <c r="HA7" s="339"/>
      <c r="HB7" s="339"/>
      <c r="HC7" s="339"/>
      <c r="HD7" s="339"/>
      <c r="HE7" s="339"/>
      <c r="HF7" s="339"/>
      <c r="HG7" s="339"/>
      <c r="HH7" s="339"/>
      <c r="HI7" s="339"/>
      <c r="HJ7" s="339"/>
      <c r="HK7" s="339"/>
      <c r="HL7" s="339"/>
      <c r="HM7" s="339"/>
      <c r="HN7" s="339"/>
      <c r="HO7" s="339"/>
      <c r="HP7" s="339"/>
      <c r="HQ7" s="339"/>
      <c r="HR7" s="339"/>
      <c r="HS7" s="339"/>
      <c r="HT7" s="339"/>
      <c r="HU7" s="339"/>
      <c r="HV7" s="339"/>
      <c r="HW7" s="339"/>
      <c r="HX7" s="339"/>
      <c r="HY7" s="339"/>
      <c r="HZ7" s="339"/>
      <c r="IA7" s="339"/>
      <c r="IB7" s="339"/>
      <c r="IC7" s="339"/>
      <c r="ID7" s="339"/>
      <c r="IE7" s="339"/>
      <c r="IF7" s="339"/>
      <c r="IG7" s="339"/>
      <c r="IH7" s="339"/>
      <c r="II7" s="339"/>
      <c r="IJ7" s="339"/>
      <c r="IK7" s="339"/>
      <c r="IL7" s="339"/>
      <c r="IM7" s="339"/>
      <c r="IN7" s="339"/>
      <c r="IO7" s="339"/>
      <c r="IP7" s="339"/>
      <c r="IQ7" s="339"/>
      <c r="IR7" s="339"/>
      <c r="IS7" s="339"/>
      <c r="IT7" s="339"/>
      <c r="IU7" s="339"/>
      <c r="IV7" s="339"/>
      <c r="IW7" s="339"/>
      <c r="IX7" s="339"/>
      <c r="IY7" s="339"/>
      <c r="IZ7" s="339"/>
      <c r="JA7" s="339"/>
      <c r="JB7" s="339"/>
      <c r="JC7" s="339"/>
      <c r="JD7" s="339"/>
      <c r="JE7" s="339"/>
      <c r="JF7" s="339"/>
      <c r="JG7" s="339"/>
      <c r="JH7" s="339"/>
      <c r="JI7" s="339"/>
      <c r="JJ7" s="339"/>
      <c r="JK7" s="339"/>
      <c r="JL7" s="339"/>
      <c r="JM7" s="339"/>
      <c r="JN7" s="339"/>
      <c r="JO7" s="339"/>
      <c r="JP7" s="339"/>
      <c r="JQ7" s="339"/>
      <c r="JR7" s="339"/>
      <c r="JS7" s="339"/>
      <c r="JT7" s="339"/>
      <c r="JU7" s="339"/>
      <c r="JV7" s="339"/>
      <c r="JW7" s="339"/>
      <c r="JX7" s="339"/>
      <c r="JY7" s="339"/>
      <c r="JZ7" s="339"/>
      <c r="KA7" s="339"/>
      <c r="KB7" s="339"/>
      <c r="KC7" s="339"/>
      <c r="KD7" s="339"/>
      <c r="KE7" s="339"/>
      <c r="KF7" s="339"/>
      <c r="KG7" s="339"/>
      <c r="KH7" s="339"/>
      <c r="KI7" s="339"/>
      <c r="KJ7" s="339"/>
      <c r="KK7" s="339"/>
      <c r="KL7" s="339"/>
      <c r="KM7" s="339"/>
      <c r="KN7" s="339"/>
    </row>
    <row r="8" spans="1:300">
      <c r="A8" s="1" t="s">
        <v>1</v>
      </c>
      <c r="B8" s="401" t="s">
        <v>205</v>
      </c>
      <c r="C8" s="401"/>
    </row>
    <row r="9" spans="1:300">
      <c r="A9" s="1" t="s">
        <v>1</v>
      </c>
      <c r="B9" s="15" t="s">
        <v>13</v>
      </c>
      <c r="C9" s="14">
        <v>0.27</v>
      </c>
    </row>
    <row r="10" spans="1:300">
      <c r="A10" s="1" t="s">
        <v>1</v>
      </c>
      <c r="B10" s="4" t="s">
        <v>14</v>
      </c>
      <c r="C10" s="3">
        <v>0.24</v>
      </c>
    </row>
    <row r="11" spans="1:300">
      <c r="A11" s="1" t="s">
        <v>1</v>
      </c>
      <c r="B11" s="4" t="s">
        <v>15</v>
      </c>
      <c r="C11" s="3">
        <v>0.27</v>
      </c>
    </row>
    <row r="12" spans="1:300">
      <c r="A12" s="1" t="s">
        <v>1</v>
      </c>
      <c r="B12" s="4" t="s">
        <v>16</v>
      </c>
      <c r="C12" s="3" t="s">
        <v>40</v>
      </c>
    </row>
    <row r="13" spans="1:300">
      <c r="A13" s="1" t="s">
        <v>1</v>
      </c>
      <c r="B13" s="4" t="s">
        <v>17</v>
      </c>
      <c r="C13" s="3">
        <v>0.27</v>
      </c>
    </row>
    <row r="14" spans="1:300">
      <c r="A14" s="1" t="s">
        <v>1</v>
      </c>
      <c r="B14" s="4" t="s">
        <v>18</v>
      </c>
      <c r="C14" s="3">
        <v>0.24</v>
      </c>
    </row>
    <row r="15" spans="1:300">
      <c r="A15" s="1" t="s">
        <v>1</v>
      </c>
      <c r="B15" s="4" t="s">
        <v>19</v>
      </c>
      <c r="C15" s="3">
        <v>0.3</v>
      </c>
    </row>
    <row r="16" spans="1:300">
      <c r="A16" s="339" t="s">
        <v>1</v>
      </c>
      <c r="B16" s="339"/>
      <c r="C16" s="339"/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339"/>
      <c r="BQ16" s="339"/>
      <c r="BR16" s="339"/>
      <c r="BS16" s="339"/>
      <c r="BT16" s="339"/>
      <c r="BU16" s="339"/>
      <c r="BV16" s="339"/>
      <c r="BW16" s="339"/>
      <c r="BX16" s="339"/>
      <c r="BY16" s="339"/>
      <c r="BZ16" s="339"/>
      <c r="CA16" s="339"/>
      <c r="CB16" s="339"/>
      <c r="CC16" s="339"/>
      <c r="CD16" s="339"/>
      <c r="CE16" s="339"/>
      <c r="CF16" s="339"/>
      <c r="CG16" s="339"/>
      <c r="CH16" s="339"/>
      <c r="CI16" s="339"/>
      <c r="CJ16" s="339"/>
      <c r="CK16" s="339"/>
      <c r="CL16" s="339"/>
      <c r="CM16" s="339"/>
      <c r="CN16" s="339"/>
      <c r="CO16" s="339"/>
      <c r="CP16" s="339"/>
      <c r="CQ16" s="339"/>
      <c r="CR16" s="339"/>
      <c r="CS16" s="339"/>
      <c r="CT16" s="339"/>
      <c r="CU16" s="339"/>
      <c r="CV16" s="339"/>
      <c r="CW16" s="339"/>
      <c r="CX16" s="339"/>
      <c r="CY16" s="339"/>
      <c r="CZ16" s="339"/>
      <c r="DA16" s="339"/>
      <c r="DB16" s="339"/>
      <c r="DC16" s="339"/>
      <c r="DD16" s="339"/>
      <c r="DE16" s="339"/>
      <c r="DF16" s="339"/>
      <c r="DG16" s="339"/>
      <c r="DH16" s="339"/>
      <c r="DI16" s="339"/>
      <c r="DJ16" s="339"/>
      <c r="DK16" s="339"/>
      <c r="DL16" s="339"/>
      <c r="DM16" s="339"/>
      <c r="DN16" s="339"/>
      <c r="DO16" s="339"/>
      <c r="DP16" s="339"/>
      <c r="DQ16" s="339"/>
      <c r="DR16" s="339"/>
      <c r="DS16" s="339"/>
      <c r="DT16" s="339"/>
      <c r="DU16" s="339"/>
      <c r="DV16" s="339"/>
      <c r="DW16" s="339"/>
      <c r="DX16" s="339"/>
      <c r="DY16" s="339"/>
      <c r="DZ16" s="339"/>
      <c r="EA16" s="339"/>
      <c r="EB16" s="339"/>
      <c r="EC16" s="339"/>
      <c r="ED16" s="339"/>
      <c r="EE16" s="339"/>
      <c r="EF16" s="339"/>
      <c r="EG16" s="339"/>
      <c r="EH16" s="339"/>
      <c r="EI16" s="339"/>
      <c r="EJ16" s="339"/>
      <c r="EK16" s="339"/>
      <c r="EL16" s="339"/>
      <c r="EM16" s="339"/>
      <c r="EN16" s="339"/>
      <c r="EO16" s="339"/>
      <c r="EP16" s="339"/>
      <c r="EQ16" s="339"/>
      <c r="ER16" s="339"/>
      <c r="ES16" s="339"/>
      <c r="ET16" s="339"/>
      <c r="EU16" s="339"/>
      <c r="EV16" s="339"/>
      <c r="EW16" s="339"/>
      <c r="EX16" s="339"/>
      <c r="EY16" s="339"/>
      <c r="EZ16" s="339"/>
      <c r="FA16" s="339"/>
      <c r="FB16" s="339"/>
      <c r="FC16" s="339"/>
      <c r="FD16" s="339"/>
      <c r="FE16" s="339"/>
      <c r="FF16" s="339"/>
      <c r="FG16" s="339"/>
      <c r="FH16" s="339"/>
      <c r="FI16" s="339"/>
      <c r="FJ16" s="339"/>
      <c r="FK16" s="339"/>
      <c r="FL16" s="339"/>
      <c r="FM16" s="339"/>
      <c r="FN16" s="339"/>
      <c r="FO16" s="339"/>
      <c r="FP16" s="339"/>
      <c r="FQ16" s="339"/>
      <c r="FR16" s="339"/>
      <c r="FS16" s="339"/>
      <c r="FT16" s="339"/>
      <c r="FU16" s="339"/>
      <c r="FV16" s="339"/>
      <c r="FW16" s="339"/>
      <c r="FX16" s="339"/>
      <c r="FY16" s="339"/>
      <c r="FZ16" s="339"/>
      <c r="GA16" s="339"/>
      <c r="GB16" s="339"/>
      <c r="GC16" s="339"/>
      <c r="GD16" s="339"/>
      <c r="GE16" s="339"/>
      <c r="GF16" s="339"/>
      <c r="GG16" s="339"/>
      <c r="GH16" s="339"/>
      <c r="GI16" s="339"/>
      <c r="GJ16" s="339"/>
      <c r="GK16" s="339"/>
      <c r="GL16" s="339"/>
      <c r="GM16" s="339"/>
      <c r="GN16" s="339"/>
      <c r="GO16" s="339"/>
      <c r="GP16" s="339"/>
      <c r="GQ16" s="339"/>
      <c r="GR16" s="339"/>
      <c r="GS16" s="339"/>
      <c r="GT16" s="339"/>
      <c r="GU16" s="339"/>
      <c r="GV16" s="339"/>
      <c r="GW16" s="339"/>
      <c r="GX16" s="339"/>
      <c r="GY16" s="339"/>
      <c r="GZ16" s="339"/>
      <c r="HA16" s="339"/>
      <c r="HB16" s="339"/>
      <c r="HC16" s="339"/>
      <c r="HD16" s="339"/>
      <c r="HE16" s="339"/>
      <c r="HF16" s="339"/>
      <c r="HG16" s="339"/>
      <c r="HH16" s="339"/>
      <c r="HI16" s="339"/>
      <c r="HJ16" s="339"/>
      <c r="HK16" s="339"/>
      <c r="HL16" s="339"/>
      <c r="HM16" s="339"/>
      <c r="HN16" s="339"/>
      <c r="HO16" s="339"/>
      <c r="HP16" s="339"/>
      <c r="HQ16" s="339"/>
      <c r="HR16" s="339"/>
      <c r="HS16" s="339"/>
      <c r="HT16" s="339"/>
      <c r="HU16" s="339"/>
      <c r="HV16" s="339"/>
      <c r="HW16" s="339"/>
      <c r="HX16" s="339"/>
      <c r="HY16" s="339"/>
      <c r="HZ16" s="339"/>
      <c r="IA16" s="339"/>
      <c r="IB16" s="339"/>
      <c r="IC16" s="339"/>
      <c r="ID16" s="339"/>
      <c r="IE16" s="339"/>
      <c r="IF16" s="339"/>
      <c r="IG16" s="339"/>
      <c r="IH16" s="339"/>
      <c r="II16" s="339"/>
      <c r="IJ16" s="339"/>
      <c r="IK16" s="339"/>
      <c r="IL16" s="339"/>
      <c r="IM16" s="339"/>
      <c r="IN16" s="339"/>
      <c r="IO16" s="339"/>
      <c r="IP16" s="339"/>
      <c r="IQ16" s="339"/>
      <c r="IR16" s="339"/>
      <c r="IS16" s="339"/>
      <c r="IT16" s="339"/>
      <c r="IU16" s="339"/>
      <c r="IV16" s="339"/>
      <c r="IW16" s="339"/>
      <c r="IX16" s="339"/>
      <c r="IY16" s="339"/>
      <c r="IZ16" s="339"/>
      <c r="JA16" s="339"/>
      <c r="JB16" s="339"/>
      <c r="JC16" s="339"/>
      <c r="JD16" s="339"/>
      <c r="JE16" s="339"/>
      <c r="JF16" s="339"/>
      <c r="JG16" s="339"/>
      <c r="JH16" s="339"/>
      <c r="JI16" s="339"/>
      <c r="JJ16" s="339"/>
      <c r="JK16" s="339"/>
      <c r="JL16" s="339"/>
      <c r="JM16" s="339"/>
      <c r="JN16" s="339"/>
      <c r="JO16" s="339"/>
      <c r="JP16" s="339"/>
      <c r="JQ16" s="339"/>
      <c r="JR16" s="339"/>
      <c r="JS16" s="339"/>
      <c r="JT16" s="339"/>
      <c r="JU16" s="339"/>
      <c r="JV16" s="339"/>
      <c r="JW16" s="339"/>
      <c r="JX16" s="339"/>
      <c r="JY16" s="339"/>
      <c r="JZ16" s="339"/>
      <c r="KA16" s="339"/>
      <c r="KB16" s="339"/>
      <c r="KC16" s="339"/>
      <c r="KD16" s="339"/>
      <c r="KE16" s="339"/>
      <c r="KF16" s="339"/>
      <c r="KG16" s="339"/>
      <c r="KH16" s="339"/>
      <c r="KI16" s="339"/>
      <c r="KJ16" s="339"/>
      <c r="KK16" s="339"/>
      <c r="KL16" s="339"/>
      <c r="KM16" s="339"/>
      <c r="KN16" s="339"/>
    </row>
    <row r="17" spans="1:300">
      <c r="A17" s="1" t="s">
        <v>1</v>
      </c>
      <c r="B17" s="401" t="s">
        <v>20</v>
      </c>
      <c r="C17" s="401"/>
    </row>
    <row r="18" spans="1:300">
      <c r="A18" s="1" t="s">
        <v>1</v>
      </c>
      <c r="B18" s="4" t="s">
        <v>206</v>
      </c>
      <c r="C18" s="3" t="s">
        <v>22</v>
      </c>
    </row>
    <row r="19" spans="1:300">
      <c r="A19" s="1" t="s">
        <v>1</v>
      </c>
      <c r="B19" s="4" t="s">
        <v>207</v>
      </c>
      <c r="C19" s="3">
        <v>4.3479999999999999</v>
      </c>
    </row>
    <row r="20" spans="1:300">
      <c r="A20" s="1" t="s">
        <v>1</v>
      </c>
      <c r="B20" s="4" t="s">
        <v>23</v>
      </c>
      <c r="C20" s="3">
        <v>1.887</v>
      </c>
    </row>
    <row r="21" spans="1:300">
      <c r="A21" s="1" t="s">
        <v>1</v>
      </c>
      <c r="B21" s="4" t="s">
        <v>24</v>
      </c>
      <c r="C21" s="3">
        <v>6.7610000000000001</v>
      </c>
    </row>
    <row r="22" spans="1:300">
      <c r="A22" s="339" t="s">
        <v>1</v>
      </c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  <c r="BY22" s="339"/>
      <c r="BZ22" s="339"/>
      <c r="CA22" s="339"/>
      <c r="CB22" s="339"/>
      <c r="CC22" s="339"/>
      <c r="CD22" s="339"/>
      <c r="CE22" s="339"/>
      <c r="CF22" s="339"/>
      <c r="CG22" s="339"/>
      <c r="CH22" s="339"/>
      <c r="CI22" s="339"/>
      <c r="CJ22" s="339"/>
      <c r="CK22" s="339"/>
      <c r="CL22" s="339"/>
      <c r="CM22" s="339"/>
      <c r="CN22" s="339"/>
      <c r="CO22" s="339"/>
      <c r="CP22" s="339"/>
      <c r="CQ22" s="339"/>
      <c r="CR22" s="339"/>
      <c r="CS22" s="339"/>
      <c r="CT22" s="339"/>
      <c r="CU22" s="339"/>
      <c r="CV22" s="339"/>
      <c r="CW22" s="339"/>
      <c r="CX22" s="339"/>
      <c r="CY22" s="339"/>
      <c r="CZ22" s="339"/>
      <c r="DA22" s="339"/>
      <c r="DB22" s="339"/>
      <c r="DC22" s="339"/>
      <c r="DD22" s="339"/>
      <c r="DE22" s="339"/>
      <c r="DF22" s="339"/>
      <c r="DG22" s="339"/>
      <c r="DH22" s="339"/>
      <c r="DI22" s="339"/>
      <c r="DJ22" s="339"/>
      <c r="DK22" s="339"/>
      <c r="DL22" s="339"/>
      <c r="DM22" s="339"/>
      <c r="DN22" s="339"/>
      <c r="DO22" s="339"/>
      <c r="DP22" s="339"/>
      <c r="DQ22" s="339"/>
      <c r="DR22" s="339"/>
      <c r="DS22" s="339"/>
      <c r="DT22" s="339"/>
      <c r="DU22" s="339"/>
      <c r="DV22" s="339"/>
      <c r="DW22" s="339"/>
      <c r="DX22" s="339"/>
      <c r="DY22" s="339"/>
      <c r="DZ22" s="339"/>
      <c r="EA22" s="339"/>
      <c r="EB22" s="339"/>
      <c r="EC22" s="339"/>
      <c r="ED22" s="339"/>
      <c r="EE22" s="339"/>
      <c r="EF22" s="339"/>
      <c r="EG22" s="339"/>
      <c r="EH22" s="339"/>
      <c r="EI22" s="339"/>
      <c r="EJ22" s="339"/>
      <c r="EK22" s="339"/>
      <c r="EL22" s="339"/>
      <c r="EM22" s="339"/>
      <c r="EN22" s="339"/>
      <c r="EO22" s="339"/>
      <c r="EP22" s="339"/>
      <c r="EQ22" s="339"/>
      <c r="ER22" s="339"/>
      <c r="ES22" s="339"/>
      <c r="ET22" s="339"/>
      <c r="EU22" s="339"/>
      <c r="EV22" s="339"/>
      <c r="EW22" s="339"/>
      <c r="EX22" s="339"/>
      <c r="EY22" s="339"/>
      <c r="EZ22" s="339"/>
      <c r="FA22" s="339"/>
      <c r="FB22" s="339"/>
      <c r="FC22" s="339"/>
      <c r="FD22" s="339"/>
      <c r="FE22" s="339"/>
      <c r="FF22" s="339"/>
      <c r="FG22" s="339"/>
      <c r="FH22" s="339"/>
      <c r="FI22" s="339"/>
      <c r="FJ22" s="339"/>
      <c r="FK22" s="339"/>
      <c r="FL22" s="339"/>
      <c r="FM22" s="339"/>
      <c r="FN22" s="339"/>
      <c r="FO22" s="339"/>
      <c r="FP22" s="339"/>
      <c r="FQ22" s="339"/>
      <c r="FR22" s="339"/>
      <c r="FS22" s="339"/>
      <c r="FT22" s="339"/>
      <c r="FU22" s="339"/>
      <c r="FV22" s="339"/>
      <c r="FW22" s="339"/>
      <c r="FX22" s="339"/>
      <c r="FY22" s="339"/>
      <c r="FZ22" s="339"/>
      <c r="GA22" s="339"/>
      <c r="GB22" s="339"/>
      <c r="GC22" s="339"/>
      <c r="GD22" s="339"/>
      <c r="GE22" s="339"/>
      <c r="GF22" s="339"/>
      <c r="GG22" s="339"/>
      <c r="GH22" s="339"/>
      <c r="GI22" s="339"/>
      <c r="GJ22" s="339"/>
      <c r="GK22" s="339"/>
      <c r="GL22" s="339"/>
      <c r="GM22" s="339"/>
      <c r="GN22" s="339"/>
      <c r="GO22" s="339"/>
      <c r="GP22" s="339"/>
      <c r="GQ22" s="339"/>
      <c r="GR22" s="339"/>
      <c r="GS22" s="339"/>
      <c r="GT22" s="339"/>
      <c r="GU22" s="339"/>
      <c r="GV22" s="339"/>
      <c r="GW22" s="339"/>
      <c r="GX22" s="339"/>
      <c r="GY22" s="339"/>
      <c r="GZ22" s="339"/>
      <c r="HA22" s="339"/>
      <c r="HB22" s="339"/>
      <c r="HC22" s="339"/>
      <c r="HD22" s="339"/>
      <c r="HE22" s="339"/>
      <c r="HF22" s="339"/>
      <c r="HG22" s="339"/>
      <c r="HH22" s="339"/>
      <c r="HI22" s="339"/>
      <c r="HJ22" s="339"/>
      <c r="HK22" s="339"/>
      <c r="HL22" s="339"/>
      <c r="HM22" s="339"/>
      <c r="HN22" s="339"/>
      <c r="HO22" s="339"/>
      <c r="HP22" s="339"/>
      <c r="HQ22" s="339"/>
      <c r="HR22" s="339"/>
      <c r="HS22" s="339"/>
      <c r="HT22" s="339"/>
      <c r="HU22" s="339"/>
      <c r="HV22" s="339"/>
      <c r="HW22" s="339"/>
      <c r="HX22" s="339"/>
      <c r="HY22" s="339"/>
      <c r="HZ22" s="339"/>
      <c r="IA22" s="339"/>
      <c r="IB22" s="339"/>
      <c r="IC22" s="339"/>
      <c r="ID22" s="339"/>
      <c r="IE22" s="339"/>
      <c r="IF22" s="339"/>
      <c r="IG22" s="339"/>
      <c r="IH22" s="339"/>
      <c r="II22" s="339"/>
      <c r="IJ22" s="339"/>
      <c r="IK22" s="339"/>
      <c r="IL22" s="339"/>
      <c r="IM22" s="339"/>
      <c r="IN22" s="339"/>
      <c r="IO22" s="339"/>
      <c r="IP22" s="339"/>
      <c r="IQ22" s="339"/>
      <c r="IR22" s="339"/>
      <c r="IS22" s="339"/>
      <c r="IT22" s="339"/>
      <c r="IU22" s="339"/>
      <c r="IV22" s="339"/>
      <c r="IW22" s="339"/>
      <c r="IX22" s="339"/>
      <c r="IY22" s="339"/>
      <c r="IZ22" s="339"/>
      <c r="JA22" s="339"/>
      <c r="JB22" s="339"/>
      <c r="JC22" s="339"/>
      <c r="JD22" s="339"/>
      <c r="JE22" s="339"/>
      <c r="JF22" s="339"/>
      <c r="JG22" s="339"/>
      <c r="JH22" s="339"/>
      <c r="JI22" s="339"/>
      <c r="JJ22" s="339"/>
      <c r="JK22" s="339"/>
      <c r="JL22" s="339"/>
      <c r="JM22" s="339"/>
      <c r="JN22" s="339"/>
      <c r="JO22" s="339"/>
      <c r="JP22" s="339"/>
      <c r="JQ22" s="339"/>
      <c r="JR22" s="339"/>
      <c r="JS22" s="339"/>
      <c r="JT22" s="339"/>
      <c r="JU22" s="339"/>
      <c r="JV22" s="339"/>
      <c r="JW22" s="339"/>
      <c r="JX22" s="339"/>
      <c r="JY22" s="339"/>
      <c r="JZ22" s="339"/>
      <c r="KA22" s="339"/>
      <c r="KB22" s="339"/>
      <c r="KC22" s="339"/>
      <c r="KD22" s="339"/>
      <c r="KE22" s="339"/>
      <c r="KF22" s="339"/>
      <c r="KG22" s="339"/>
      <c r="KH22" s="339"/>
      <c r="KI22" s="339"/>
      <c r="KJ22" s="339"/>
      <c r="KK22" s="339"/>
      <c r="KL22" s="339"/>
      <c r="KM22" s="339"/>
      <c r="KN22" s="339"/>
    </row>
    <row r="23" spans="1:300">
      <c r="A23" s="401" t="s">
        <v>208</v>
      </c>
      <c r="B23" s="401"/>
      <c r="C23" s="401"/>
      <c r="D23" s="401"/>
      <c r="E23" s="401"/>
      <c r="F23" s="401"/>
      <c r="G23" s="401"/>
      <c r="H23" s="401"/>
      <c r="I23" s="401"/>
      <c r="J23" s="401"/>
      <c r="K23" s="401"/>
    </row>
    <row r="24" spans="1:300">
      <c r="A24" s="401" t="s">
        <v>209</v>
      </c>
      <c r="B24" s="401"/>
      <c r="C24" s="401"/>
      <c r="D24" s="401"/>
      <c r="E24" s="401"/>
      <c r="F24" s="401"/>
      <c r="G24" s="401"/>
      <c r="H24" s="401"/>
      <c r="I24" s="401"/>
      <c r="J24" s="401"/>
      <c r="K24" s="401"/>
    </row>
    <row r="25" spans="1:300">
      <c r="A25" s="9" t="s">
        <v>1</v>
      </c>
      <c r="B25" s="9" t="s">
        <v>48</v>
      </c>
      <c r="C25" s="9" t="s">
        <v>49</v>
      </c>
      <c r="D25" s="9" t="s">
        <v>50</v>
      </c>
      <c r="E25" s="9" t="s">
        <v>51</v>
      </c>
      <c r="F25" s="9" t="s">
        <v>52</v>
      </c>
      <c r="G25" s="9" t="s">
        <v>53</v>
      </c>
      <c r="H25" s="9" t="s">
        <v>54</v>
      </c>
      <c r="I25" s="9" t="s">
        <v>55</v>
      </c>
      <c r="J25" s="9" t="s">
        <v>56</v>
      </c>
      <c r="K25" s="9" t="s">
        <v>57</v>
      </c>
    </row>
    <row r="26" spans="1:300">
      <c r="A26" s="4" t="s">
        <v>58</v>
      </c>
      <c r="B26" s="4" t="s">
        <v>69</v>
      </c>
      <c r="C26" s="4" t="s">
        <v>70</v>
      </c>
      <c r="D26" s="4" t="s">
        <v>71</v>
      </c>
      <c r="E26" s="3">
        <v>0.3</v>
      </c>
      <c r="F26" s="3">
        <v>11.1111111111111</v>
      </c>
      <c r="G26" s="3">
        <v>0.4</v>
      </c>
      <c r="H26" s="5">
        <v>128</v>
      </c>
      <c r="I26" s="4" t="s">
        <v>210</v>
      </c>
      <c r="J26" s="4" t="s">
        <v>81</v>
      </c>
      <c r="K26" s="3" t="s">
        <v>211</v>
      </c>
    </row>
    <row r="27" spans="1:300">
      <c r="A27" s="4" t="s">
        <v>58</v>
      </c>
      <c r="B27" s="4" t="s">
        <v>99</v>
      </c>
      <c r="C27" s="4" t="s">
        <v>100</v>
      </c>
      <c r="D27" s="4" t="s">
        <v>84</v>
      </c>
      <c r="E27" s="3">
        <v>0.24</v>
      </c>
      <c r="F27" s="3">
        <v>-11.1111111111111</v>
      </c>
      <c r="G27" s="3">
        <v>0.25</v>
      </c>
      <c r="H27" s="5">
        <v>25</v>
      </c>
      <c r="I27" s="4" t="s">
        <v>212</v>
      </c>
      <c r="J27" s="4" t="s">
        <v>66</v>
      </c>
      <c r="K27" s="3">
        <v>100</v>
      </c>
    </row>
    <row r="28" spans="1:300">
      <c r="A28" s="13" t="s">
        <v>1</v>
      </c>
      <c r="B28" s="13" t="s">
        <v>14</v>
      </c>
      <c r="C28" s="13" t="s">
        <v>1</v>
      </c>
      <c r="D28" s="13" t="s">
        <v>1</v>
      </c>
      <c r="E28" s="12">
        <v>0.24</v>
      </c>
      <c r="F28" s="12" t="s">
        <v>40</v>
      </c>
      <c r="G28" s="12" t="s">
        <v>40</v>
      </c>
      <c r="H28" s="12" t="s">
        <v>1</v>
      </c>
      <c r="I28" s="13" t="s">
        <v>1</v>
      </c>
      <c r="J28" s="13" t="s">
        <v>1</v>
      </c>
      <c r="K28" s="12" t="s">
        <v>1</v>
      </c>
    </row>
    <row r="29" spans="1:300">
      <c r="A29" s="11" t="s">
        <v>1</v>
      </c>
      <c r="B29" s="11" t="s">
        <v>15</v>
      </c>
      <c r="C29" s="11" t="s">
        <v>1</v>
      </c>
      <c r="D29" s="11" t="s">
        <v>1</v>
      </c>
      <c r="E29" s="10">
        <v>0.27</v>
      </c>
      <c r="F29" s="10" t="s">
        <v>1</v>
      </c>
      <c r="G29" s="10" t="s">
        <v>40</v>
      </c>
      <c r="H29" s="10" t="s">
        <v>1</v>
      </c>
      <c r="I29" s="11" t="s">
        <v>1</v>
      </c>
      <c r="J29" s="11" t="s">
        <v>1</v>
      </c>
      <c r="K29" s="10" t="s">
        <v>1</v>
      </c>
    </row>
    <row r="30" spans="1:300">
      <c r="A30" s="339" t="s">
        <v>1</v>
      </c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339"/>
      <c r="AI30" s="339"/>
      <c r="AJ30" s="339"/>
      <c r="AK30" s="339"/>
      <c r="AL30" s="339"/>
      <c r="AM30" s="339"/>
      <c r="AN30" s="339"/>
      <c r="AO30" s="339"/>
      <c r="AP30" s="339"/>
      <c r="AQ30" s="339"/>
      <c r="AR30" s="339"/>
      <c r="AS30" s="339"/>
      <c r="AT30" s="339"/>
      <c r="AU30" s="339"/>
      <c r="AV30" s="339"/>
      <c r="AW30" s="339"/>
      <c r="AX30" s="339"/>
      <c r="AY30" s="339"/>
      <c r="AZ30" s="339"/>
      <c r="BA30" s="339"/>
      <c r="BB30" s="339"/>
      <c r="BC30" s="339"/>
      <c r="BD30" s="339"/>
      <c r="BE30" s="339"/>
      <c r="BF30" s="339"/>
      <c r="BG30" s="339"/>
      <c r="BH30" s="339"/>
      <c r="BI30" s="339"/>
      <c r="BJ30" s="339"/>
      <c r="BK30" s="339"/>
      <c r="BL30" s="339"/>
      <c r="BM30" s="339"/>
      <c r="BN30" s="339"/>
      <c r="BO30" s="339"/>
      <c r="BP30" s="339"/>
      <c r="BQ30" s="339"/>
      <c r="BR30" s="339"/>
      <c r="BS30" s="339"/>
      <c r="BT30" s="339"/>
      <c r="BU30" s="339"/>
      <c r="BV30" s="339"/>
      <c r="BW30" s="339"/>
      <c r="BX30" s="339"/>
      <c r="BY30" s="339"/>
      <c r="BZ30" s="339"/>
      <c r="CA30" s="339"/>
      <c r="CB30" s="339"/>
      <c r="CC30" s="339"/>
      <c r="CD30" s="339"/>
      <c r="CE30" s="339"/>
      <c r="CF30" s="339"/>
      <c r="CG30" s="339"/>
      <c r="CH30" s="339"/>
      <c r="CI30" s="339"/>
      <c r="CJ30" s="339"/>
      <c r="CK30" s="339"/>
      <c r="CL30" s="339"/>
      <c r="CM30" s="339"/>
      <c r="CN30" s="339"/>
      <c r="CO30" s="339"/>
      <c r="CP30" s="339"/>
      <c r="CQ30" s="339"/>
      <c r="CR30" s="339"/>
      <c r="CS30" s="339"/>
      <c r="CT30" s="339"/>
      <c r="CU30" s="339"/>
      <c r="CV30" s="339"/>
      <c r="CW30" s="339"/>
      <c r="CX30" s="339"/>
      <c r="CY30" s="339"/>
      <c r="CZ30" s="339"/>
      <c r="DA30" s="339"/>
      <c r="DB30" s="339"/>
      <c r="DC30" s="339"/>
      <c r="DD30" s="339"/>
      <c r="DE30" s="339"/>
      <c r="DF30" s="339"/>
      <c r="DG30" s="339"/>
      <c r="DH30" s="339"/>
      <c r="DI30" s="339"/>
      <c r="DJ30" s="339"/>
      <c r="DK30" s="339"/>
      <c r="DL30" s="339"/>
      <c r="DM30" s="339"/>
      <c r="DN30" s="339"/>
      <c r="DO30" s="339"/>
      <c r="DP30" s="339"/>
      <c r="DQ30" s="339"/>
      <c r="DR30" s="339"/>
      <c r="DS30" s="339"/>
      <c r="DT30" s="339"/>
      <c r="DU30" s="339"/>
      <c r="DV30" s="339"/>
      <c r="DW30" s="339"/>
      <c r="DX30" s="339"/>
      <c r="DY30" s="339"/>
      <c r="DZ30" s="339"/>
      <c r="EA30" s="339"/>
      <c r="EB30" s="339"/>
      <c r="EC30" s="339"/>
      <c r="ED30" s="339"/>
      <c r="EE30" s="339"/>
      <c r="EF30" s="339"/>
      <c r="EG30" s="339"/>
      <c r="EH30" s="339"/>
      <c r="EI30" s="339"/>
      <c r="EJ30" s="339"/>
      <c r="EK30" s="339"/>
      <c r="EL30" s="339"/>
      <c r="EM30" s="339"/>
      <c r="EN30" s="339"/>
      <c r="EO30" s="339"/>
      <c r="EP30" s="339"/>
      <c r="EQ30" s="339"/>
      <c r="ER30" s="339"/>
      <c r="ES30" s="339"/>
      <c r="ET30" s="339"/>
      <c r="EU30" s="339"/>
      <c r="EV30" s="339"/>
      <c r="EW30" s="339"/>
      <c r="EX30" s="339"/>
      <c r="EY30" s="339"/>
      <c r="EZ30" s="339"/>
      <c r="FA30" s="339"/>
      <c r="FB30" s="339"/>
      <c r="FC30" s="339"/>
      <c r="FD30" s="339"/>
      <c r="FE30" s="339"/>
      <c r="FF30" s="339"/>
      <c r="FG30" s="339"/>
      <c r="FH30" s="339"/>
      <c r="FI30" s="339"/>
      <c r="FJ30" s="339"/>
      <c r="FK30" s="339"/>
      <c r="FL30" s="339"/>
      <c r="FM30" s="339"/>
      <c r="FN30" s="339"/>
      <c r="FO30" s="339"/>
      <c r="FP30" s="339"/>
      <c r="FQ30" s="339"/>
      <c r="FR30" s="339"/>
      <c r="FS30" s="339"/>
      <c r="FT30" s="339"/>
      <c r="FU30" s="339"/>
      <c r="FV30" s="339"/>
      <c r="FW30" s="339"/>
      <c r="FX30" s="339"/>
      <c r="FY30" s="339"/>
      <c r="FZ30" s="339"/>
      <c r="GA30" s="339"/>
      <c r="GB30" s="339"/>
      <c r="GC30" s="339"/>
      <c r="GD30" s="339"/>
      <c r="GE30" s="339"/>
      <c r="GF30" s="339"/>
      <c r="GG30" s="339"/>
      <c r="GH30" s="339"/>
      <c r="GI30" s="339"/>
      <c r="GJ30" s="339"/>
      <c r="GK30" s="339"/>
      <c r="GL30" s="339"/>
      <c r="GM30" s="339"/>
      <c r="GN30" s="339"/>
      <c r="GO30" s="339"/>
      <c r="GP30" s="339"/>
      <c r="GQ30" s="339"/>
      <c r="GR30" s="339"/>
      <c r="GS30" s="339"/>
      <c r="GT30" s="339"/>
      <c r="GU30" s="339"/>
      <c r="GV30" s="339"/>
      <c r="GW30" s="339"/>
      <c r="GX30" s="339"/>
      <c r="GY30" s="339"/>
      <c r="GZ30" s="339"/>
      <c r="HA30" s="339"/>
      <c r="HB30" s="339"/>
      <c r="HC30" s="339"/>
      <c r="HD30" s="339"/>
      <c r="HE30" s="339"/>
      <c r="HF30" s="339"/>
      <c r="HG30" s="339"/>
      <c r="HH30" s="339"/>
      <c r="HI30" s="339"/>
      <c r="HJ30" s="339"/>
      <c r="HK30" s="339"/>
      <c r="HL30" s="339"/>
      <c r="HM30" s="339"/>
      <c r="HN30" s="339"/>
      <c r="HO30" s="339"/>
      <c r="HP30" s="339"/>
      <c r="HQ30" s="339"/>
      <c r="HR30" s="339"/>
      <c r="HS30" s="339"/>
      <c r="HT30" s="339"/>
      <c r="HU30" s="339"/>
      <c r="HV30" s="339"/>
      <c r="HW30" s="339"/>
      <c r="HX30" s="339"/>
      <c r="HY30" s="339"/>
      <c r="HZ30" s="339"/>
      <c r="IA30" s="339"/>
      <c r="IB30" s="339"/>
      <c r="IC30" s="339"/>
      <c r="ID30" s="339"/>
      <c r="IE30" s="339"/>
      <c r="IF30" s="339"/>
      <c r="IG30" s="339"/>
      <c r="IH30" s="339"/>
      <c r="II30" s="339"/>
      <c r="IJ30" s="339"/>
      <c r="IK30" s="339"/>
      <c r="IL30" s="339"/>
      <c r="IM30" s="339"/>
      <c r="IN30" s="339"/>
      <c r="IO30" s="339"/>
      <c r="IP30" s="339"/>
      <c r="IQ30" s="339"/>
      <c r="IR30" s="339"/>
      <c r="IS30" s="339"/>
      <c r="IT30" s="339"/>
      <c r="IU30" s="339"/>
      <c r="IV30" s="339"/>
      <c r="IW30" s="339"/>
      <c r="IX30" s="339"/>
      <c r="IY30" s="339"/>
      <c r="IZ30" s="339"/>
      <c r="JA30" s="339"/>
      <c r="JB30" s="339"/>
      <c r="JC30" s="339"/>
      <c r="JD30" s="339"/>
      <c r="JE30" s="339"/>
      <c r="JF30" s="339"/>
      <c r="JG30" s="339"/>
      <c r="JH30" s="339"/>
      <c r="JI30" s="339"/>
      <c r="JJ30" s="339"/>
      <c r="JK30" s="339"/>
      <c r="JL30" s="339"/>
      <c r="JM30" s="339"/>
      <c r="JN30" s="339"/>
      <c r="JO30" s="339"/>
      <c r="JP30" s="339"/>
      <c r="JQ30" s="339"/>
      <c r="JR30" s="339"/>
      <c r="JS30" s="339"/>
      <c r="JT30" s="339"/>
      <c r="JU30" s="339"/>
      <c r="JV30" s="339"/>
      <c r="JW30" s="339"/>
      <c r="JX30" s="339"/>
      <c r="JY30" s="339"/>
      <c r="JZ30" s="339"/>
      <c r="KA30" s="339"/>
      <c r="KB30" s="339"/>
      <c r="KC30" s="339"/>
      <c r="KD30" s="339"/>
      <c r="KE30" s="339"/>
      <c r="KF30" s="339"/>
      <c r="KG30" s="339"/>
      <c r="KH30" s="339"/>
      <c r="KI30" s="339"/>
      <c r="KJ30" s="339"/>
      <c r="KK30" s="339"/>
      <c r="KL30" s="339"/>
      <c r="KM30" s="339"/>
      <c r="KN30" s="339"/>
    </row>
  </sheetData>
  <mergeCells count="9">
    <mergeCell ref="A23:K23"/>
    <mergeCell ref="A24:K24"/>
    <mergeCell ref="A30:KN30"/>
    <mergeCell ref="A3:KN3"/>
    <mergeCell ref="A7:KN7"/>
    <mergeCell ref="B8:C8"/>
    <mergeCell ref="A16:KN16"/>
    <mergeCell ref="B17:C17"/>
    <mergeCell ref="A22:KN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88C5-B01B-4452-A9E1-B1436D53B3F8}">
  <sheetPr>
    <outlinePr summaryBelow="0"/>
  </sheetPr>
  <dimension ref="A1:KN30"/>
  <sheetViews>
    <sheetView workbookViewId="0"/>
  </sheetViews>
  <sheetFormatPr defaultRowHeight="15"/>
  <cols>
    <col min="1" max="1" width="2.5703125" bestFit="1" customWidth="1"/>
    <col min="2" max="2" width="50" bestFit="1" customWidth="1"/>
    <col min="3" max="3" width="31.42578125" bestFit="1" customWidth="1"/>
    <col min="4" max="301" width="20.7109375" bestFit="1" customWidth="1"/>
  </cols>
  <sheetData>
    <row r="1" spans="1:300">
      <c r="A1" s="1" t="s">
        <v>1</v>
      </c>
      <c r="B1" s="2" t="s">
        <v>2</v>
      </c>
      <c r="C1" s="2" t="s">
        <v>3</v>
      </c>
    </row>
    <row r="2" spans="1:300">
      <c r="A2" s="1" t="s">
        <v>1</v>
      </c>
      <c r="B2" s="2" t="s">
        <v>4</v>
      </c>
      <c r="C2" s="1" t="s">
        <v>5</v>
      </c>
    </row>
    <row r="3" spans="1:300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BZ3" s="339"/>
      <c r="CA3" s="339"/>
      <c r="CB3" s="339"/>
      <c r="CC3" s="339"/>
      <c r="CD3" s="339"/>
      <c r="CE3" s="339"/>
      <c r="CF3" s="339"/>
      <c r="CG3" s="339"/>
      <c r="CH3" s="339"/>
      <c r="CI3" s="339"/>
      <c r="CJ3" s="339"/>
      <c r="CK3" s="339"/>
      <c r="CL3" s="339"/>
      <c r="CM3" s="339"/>
      <c r="CN3" s="339"/>
      <c r="CO3" s="339"/>
      <c r="CP3" s="339"/>
      <c r="CQ3" s="339"/>
      <c r="CR3" s="339"/>
      <c r="CS3" s="339"/>
      <c r="CT3" s="339"/>
      <c r="CU3" s="339"/>
      <c r="CV3" s="339"/>
      <c r="CW3" s="339"/>
      <c r="CX3" s="339"/>
      <c r="CY3" s="339"/>
      <c r="CZ3" s="339"/>
      <c r="DA3" s="339"/>
      <c r="DB3" s="339"/>
      <c r="DC3" s="339"/>
      <c r="DD3" s="339"/>
      <c r="DE3" s="339"/>
      <c r="DF3" s="339"/>
      <c r="DG3" s="339"/>
      <c r="DH3" s="339"/>
      <c r="DI3" s="339"/>
      <c r="DJ3" s="339"/>
      <c r="DK3" s="339"/>
      <c r="DL3" s="339"/>
      <c r="DM3" s="339"/>
      <c r="DN3" s="339"/>
      <c r="DO3" s="339"/>
      <c r="DP3" s="339"/>
      <c r="DQ3" s="339"/>
      <c r="DR3" s="339"/>
      <c r="DS3" s="339"/>
      <c r="DT3" s="339"/>
      <c r="DU3" s="339"/>
      <c r="DV3" s="339"/>
      <c r="DW3" s="339"/>
      <c r="DX3" s="339"/>
      <c r="DY3" s="339"/>
      <c r="DZ3" s="339"/>
      <c r="EA3" s="339"/>
      <c r="EB3" s="339"/>
      <c r="EC3" s="339"/>
      <c r="ED3" s="339"/>
      <c r="EE3" s="339"/>
      <c r="EF3" s="339"/>
      <c r="EG3" s="339"/>
      <c r="EH3" s="339"/>
      <c r="EI3" s="339"/>
      <c r="EJ3" s="339"/>
      <c r="EK3" s="339"/>
      <c r="EL3" s="339"/>
      <c r="EM3" s="339"/>
      <c r="EN3" s="339"/>
      <c r="EO3" s="339"/>
      <c r="EP3" s="339"/>
      <c r="EQ3" s="339"/>
      <c r="ER3" s="339"/>
      <c r="ES3" s="339"/>
      <c r="ET3" s="339"/>
      <c r="EU3" s="339"/>
      <c r="EV3" s="339"/>
      <c r="EW3" s="339"/>
      <c r="EX3" s="339"/>
      <c r="EY3" s="339"/>
      <c r="EZ3" s="339"/>
      <c r="FA3" s="339"/>
      <c r="FB3" s="339"/>
      <c r="FC3" s="339"/>
      <c r="FD3" s="339"/>
      <c r="FE3" s="339"/>
      <c r="FF3" s="339"/>
      <c r="FG3" s="339"/>
      <c r="FH3" s="339"/>
      <c r="FI3" s="339"/>
      <c r="FJ3" s="339"/>
      <c r="FK3" s="339"/>
      <c r="FL3" s="339"/>
      <c r="FM3" s="339"/>
      <c r="FN3" s="339"/>
      <c r="FO3" s="339"/>
      <c r="FP3" s="339"/>
      <c r="FQ3" s="339"/>
      <c r="FR3" s="339"/>
      <c r="FS3" s="339"/>
      <c r="FT3" s="339"/>
      <c r="FU3" s="339"/>
      <c r="FV3" s="339"/>
      <c r="FW3" s="339"/>
      <c r="FX3" s="339"/>
      <c r="FY3" s="339"/>
      <c r="FZ3" s="339"/>
      <c r="GA3" s="339"/>
      <c r="GB3" s="339"/>
      <c r="GC3" s="339"/>
      <c r="GD3" s="339"/>
      <c r="GE3" s="339"/>
      <c r="GF3" s="339"/>
      <c r="GG3" s="339"/>
      <c r="GH3" s="339"/>
      <c r="GI3" s="339"/>
      <c r="GJ3" s="339"/>
      <c r="GK3" s="339"/>
      <c r="GL3" s="339"/>
      <c r="GM3" s="339"/>
      <c r="GN3" s="339"/>
      <c r="GO3" s="339"/>
      <c r="GP3" s="339"/>
      <c r="GQ3" s="339"/>
      <c r="GR3" s="339"/>
      <c r="GS3" s="339"/>
      <c r="GT3" s="339"/>
      <c r="GU3" s="339"/>
      <c r="GV3" s="339"/>
      <c r="GW3" s="339"/>
      <c r="GX3" s="339"/>
      <c r="GY3" s="339"/>
      <c r="GZ3" s="339"/>
      <c r="HA3" s="339"/>
      <c r="HB3" s="339"/>
      <c r="HC3" s="339"/>
      <c r="HD3" s="339"/>
      <c r="HE3" s="339"/>
      <c r="HF3" s="339"/>
      <c r="HG3" s="339"/>
      <c r="HH3" s="339"/>
      <c r="HI3" s="339"/>
      <c r="HJ3" s="339"/>
      <c r="HK3" s="339"/>
      <c r="HL3" s="339"/>
      <c r="HM3" s="339"/>
      <c r="HN3" s="339"/>
      <c r="HO3" s="339"/>
      <c r="HP3" s="339"/>
      <c r="HQ3" s="339"/>
      <c r="HR3" s="339"/>
      <c r="HS3" s="339"/>
      <c r="HT3" s="339"/>
      <c r="HU3" s="339"/>
      <c r="HV3" s="339"/>
      <c r="HW3" s="339"/>
      <c r="HX3" s="339"/>
      <c r="HY3" s="339"/>
      <c r="HZ3" s="339"/>
      <c r="IA3" s="339"/>
      <c r="IB3" s="339"/>
      <c r="IC3" s="339"/>
      <c r="ID3" s="339"/>
      <c r="IE3" s="339"/>
      <c r="IF3" s="339"/>
      <c r="IG3" s="339"/>
      <c r="IH3" s="339"/>
      <c r="II3" s="339"/>
      <c r="IJ3" s="339"/>
      <c r="IK3" s="339"/>
      <c r="IL3" s="339"/>
      <c r="IM3" s="339"/>
      <c r="IN3" s="339"/>
      <c r="IO3" s="339"/>
      <c r="IP3" s="339"/>
      <c r="IQ3" s="339"/>
      <c r="IR3" s="339"/>
      <c r="IS3" s="339"/>
      <c r="IT3" s="339"/>
      <c r="IU3" s="339"/>
      <c r="IV3" s="339"/>
      <c r="IW3" s="339"/>
      <c r="IX3" s="339"/>
      <c r="IY3" s="339"/>
      <c r="IZ3" s="339"/>
      <c r="JA3" s="339"/>
      <c r="JB3" s="339"/>
      <c r="JC3" s="339"/>
      <c r="JD3" s="339"/>
      <c r="JE3" s="339"/>
      <c r="JF3" s="339"/>
      <c r="JG3" s="339"/>
      <c r="JH3" s="339"/>
      <c r="JI3" s="339"/>
      <c r="JJ3" s="339"/>
      <c r="JK3" s="339"/>
      <c r="JL3" s="339"/>
      <c r="JM3" s="339"/>
      <c r="JN3" s="339"/>
      <c r="JO3" s="339"/>
      <c r="JP3" s="339"/>
      <c r="JQ3" s="339"/>
      <c r="JR3" s="339"/>
      <c r="JS3" s="339"/>
      <c r="JT3" s="339"/>
      <c r="JU3" s="339"/>
      <c r="JV3" s="339"/>
      <c r="JW3" s="339"/>
      <c r="JX3" s="339"/>
      <c r="JY3" s="339"/>
      <c r="JZ3" s="339"/>
      <c r="KA3" s="339"/>
      <c r="KB3" s="339"/>
      <c r="KC3" s="339"/>
      <c r="KD3" s="339"/>
      <c r="KE3" s="339"/>
      <c r="KF3" s="339"/>
      <c r="KG3" s="339"/>
      <c r="KH3" s="339"/>
      <c r="KI3" s="339"/>
      <c r="KJ3" s="339"/>
      <c r="KK3" s="339"/>
      <c r="KL3" s="339"/>
      <c r="KM3" s="339"/>
      <c r="KN3" s="339"/>
    </row>
    <row r="4" spans="1:300">
      <c r="A4" s="1" t="s">
        <v>1</v>
      </c>
      <c r="B4" s="2" t="s">
        <v>6</v>
      </c>
      <c r="C4" s="1" t="s">
        <v>204</v>
      </c>
    </row>
    <row r="5" spans="1:300">
      <c r="A5" s="1" t="s">
        <v>1</v>
      </c>
      <c r="B5" s="2" t="s">
        <v>8</v>
      </c>
      <c r="C5" s="1" t="s">
        <v>108</v>
      </c>
    </row>
    <row r="6" spans="1:300">
      <c r="A6" s="1" t="s">
        <v>1</v>
      </c>
      <c r="B6" s="2" t="s">
        <v>10</v>
      </c>
      <c r="C6" s="1" t="s">
        <v>11</v>
      </c>
    </row>
    <row r="7" spans="1:300">
      <c r="A7" s="339" t="s">
        <v>1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339"/>
      <c r="CK7" s="339"/>
      <c r="CL7" s="339"/>
      <c r="CM7" s="339"/>
      <c r="CN7" s="339"/>
      <c r="CO7" s="339"/>
      <c r="CP7" s="339"/>
      <c r="CQ7" s="339"/>
      <c r="CR7" s="339"/>
      <c r="CS7" s="339"/>
      <c r="CT7" s="339"/>
      <c r="CU7" s="339"/>
      <c r="CV7" s="339"/>
      <c r="CW7" s="339"/>
      <c r="CX7" s="339"/>
      <c r="CY7" s="339"/>
      <c r="CZ7" s="339"/>
      <c r="DA7" s="339"/>
      <c r="DB7" s="339"/>
      <c r="DC7" s="339"/>
      <c r="DD7" s="339"/>
      <c r="DE7" s="339"/>
      <c r="DF7" s="339"/>
      <c r="DG7" s="339"/>
      <c r="DH7" s="339"/>
      <c r="DI7" s="339"/>
      <c r="DJ7" s="339"/>
      <c r="DK7" s="339"/>
      <c r="DL7" s="339"/>
      <c r="DM7" s="339"/>
      <c r="DN7" s="339"/>
      <c r="DO7" s="339"/>
      <c r="DP7" s="339"/>
      <c r="DQ7" s="339"/>
      <c r="DR7" s="339"/>
      <c r="DS7" s="339"/>
      <c r="DT7" s="339"/>
      <c r="DU7" s="339"/>
      <c r="DV7" s="339"/>
      <c r="DW7" s="339"/>
      <c r="DX7" s="339"/>
      <c r="DY7" s="339"/>
      <c r="DZ7" s="339"/>
      <c r="EA7" s="339"/>
      <c r="EB7" s="339"/>
      <c r="EC7" s="339"/>
      <c r="ED7" s="339"/>
      <c r="EE7" s="339"/>
      <c r="EF7" s="339"/>
      <c r="EG7" s="339"/>
      <c r="EH7" s="339"/>
      <c r="EI7" s="339"/>
      <c r="EJ7" s="339"/>
      <c r="EK7" s="339"/>
      <c r="EL7" s="339"/>
      <c r="EM7" s="339"/>
      <c r="EN7" s="339"/>
      <c r="EO7" s="339"/>
      <c r="EP7" s="339"/>
      <c r="EQ7" s="339"/>
      <c r="ER7" s="339"/>
      <c r="ES7" s="339"/>
      <c r="ET7" s="339"/>
      <c r="EU7" s="339"/>
      <c r="EV7" s="339"/>
      <c r="EW7" s="339"/>
      <c r="EX7" s="339"/>
      <c r="EY7" s="339"/>
      <c r="EZ7" s="339"/>
      <c r="FA7" s="339"/>
      <c r="FB7" s="339"/>
      <c r="FC7" s="339"/>
      <c r="FD7" s="339"/>
      <c r="FE7" s="339"/>
      <c r="FF7" s="339"/>
      <c r="FG7" s="339"/>
      <c r="FH7" s="339"/>
      <c r="FI7" s="339"/>
      <c r="FJ7" s="339"/>
      <c r="FK7" s="339"/>
      <c r="FL7" s="339"/>
      <c r="FM7" s="339"/>
      <c r="FN7" s="339"/>
      <c r="FO7" s="339"/>
      <c r="FP7" s="339"/>
      <c r="FQ7" s="339"/>
      <c r="FR7" s="339"/>
      <c r="FS7" s="339"/>
      <c r="FT7" s="339"/>
      <c r="FU7" s="339"/>
      <c r="FV7" s="339"/>
      <c r="FW7" s="339"/>
      <c r="FX7" s="339"/>
      <c r="FY7" s="339"/>
      <c r="FZ7" s="339"/>
      <c r="GA7" s="339"/>
      <c r="GB7" s="339"/>
      <c r="GC7" s="339"/>
      <c r="GD7" s="339"/>
      <c r="GE7" s="339"/>
      <c r="GF7" s="339"/>
      <c r="GG7" s="339"/>
      <c r="GH7" s="339"/>
      <c r="GI7" s="339"/>
      <c r="GJ7" s="339"/>
      <c r="GK7" s="339"/>
      <c r="GL7" s="339"/>
      <c r="GM7" s="339"/>
      <c r="GN7" s="339"/>
      <c r="GO7" s="339"/>
      <c r="GP7" s="339"/>
      <c r="GQ7" s="339"/>
      <c r="GR7" s="339"/>
      <c r="GS7" s="339"/>
      <c r="GT7" s="339"/>
      <c r="GU7" s="339"/>
      <c r="GV7" s="339"/>
      <c r="GW7" s="339"/>
      <c r="GX7" s="339"/>
      <c r="GY7" s="339"/>
      <c r="GZ7" s="339"/>
      <c r="HA7" s="339"/>
      <c r="HB7" s="339"/>
      <c r="HC7" s="339"/>
      <c r="HD7" s="339"/>
      <c r="HE7" s="339"/>
      <c r="HF7" s="339"/>
      <c r="HG7" s="339"/>
      <c r="HH7" s="339"/>
      <c r="HI7" s="339"/>
      <c r="HJ7" s="339"/>
      <c r="HK7" s="339"/>
      <c r="HL7" s="339"/>
      <c r="HM7" s="339"/>
      <c r="HN7" s="339"/>
      <c r="HO7" s="339"/>
      <c r="HP7" s="339"/>
      <c r="HQ7" s="339"/>
      <c r="HR7" s="339"/>
      <c r="HS7" s="339"/>
      <c r="HT7" s="339"/>
      <c r="HU7" s="339"/>
      <c r="HV7" s="339"/>
      <c r="HW7" s="339"/>
      <c r="HX7" s="339"/>
      <c r="HY7" s="339"/>
      <c r="HZ7" s="339"/>
      <c r="IA7" s="339"/>
      <c r="IB7" s="339"/>
      <c r="IC7" s="339"/>
      <c r="ID7" s="339"/>
      <c r="IE7" s="339"/>
      <c r="IF7" s="339"/>
      <c r="IG7" s="339"/>
      <c r="IH7" s="339"/>
      <c r="II7" s="339"/>
      <c r="IJ7" s="339"/>
      <c r="IK7" s="339"/>
      <c r="IL7" s="339"/>
      <c r="IM7" s="339"/>
      <c r="IN7" s="339"/>
      <c r="IO7" s="339"/>
      <c r="IP7" s="339"/>
      <c r="IQ7" s="339"/>
      <c r="IR7" s="339"/>
      <c r="IS7" s="339"/>
      <c r="IT7" s="339"/>
      <c r="IU7" s="339"/>
      <c r="IV7" s="339"/>
      <c r="IW7" s="339"/>
      <c r="IX7" s="339"/>
      <c r="IY7" s="339"/>
      <c r="IZ7" s="339"/>
      <c r="JA7" s="339"/>
      <c r="JB7" s="339"/>
      <c r="JC7" s="339"/>
      <c r="JD7" s="339"/>
      <c r="JE7" s="339"/>
      <c r="JF7" s="339"/>
      <c r="JG7" s="339"/>
      <c r="JH7" s="339"/>
      <c r="JI7" s="339"/>
      <c r="JJ7" s="339"/>
      <c r="JK7" s="339"/>
      <c r="JL7" s="339"/>
      <c r="JM7" s="339"/>
      <c r="JN7" s="339"/>
      <c r="JO7" s="339"/>
      <c r="JP7" s="339"/>
      <c r="JQ7" s="339"/>
      <c r="JR7" s="339"/>
      <c r="JS7" s="339"/>
      <c r="JT7" s="339"/>
      <c r="JU7" s="339"/>
      <c r="JV7" s="339"/>
      <c r="JW7" s="339"/>
      <c r="JX7" s="339"/>
      <c r="JY7" s="339"/>
      <c r="JZ7" s="339"/>
      <c r="KA7" s="339"/>
      <c r="KB7" s="339"/>
      <c r="KC7" s="339"/>
      <c r="KD7" s="339"/>
      <c r="KE7" s="339"/>
      <c r="KF7" s="339"/>
      <c r="KG7" s="339"/>
      <c r="KH7" s="339"/>
      <c r="KI7" s="339"/>
      <c r="KJ7" s="339"/>
      <c r="KK7" s="339"/>
      <c r="KL7" s="339"/>
      <c r="KM7" s="339"/>
      <c r="KN7" s="339"/>
    </row>
    <row r="8" spans="1:300">
      <c r="A8" s="1" t="s">
        <v>1</v>
      </c>
      <c r="B8" s="401" t="s">
        <v>205</v>
      </c>
      <c r="C8" s="401"/>
    </row>
    <row r="9" spans="1:300">
      <c r="A9" s="1" t="s">
        <v>1</v>
      </c>
      <c r="B9" s="15" t="s">
        <v>13</v>
      </c>
      <c r="C9" s="14">
        <v>0.27</v>
      </c>
    </row>
    <row r="10" spans="1:300">
      <c r="A10" s="1" t="s">
        <v>1</v>
      </c>
      <c r="B10" s="4" t="s">
        <v>14</v>
      </c>
      <c r="C10" s="3">
        <v>0.24</v>
      </c>
    </row>
    <row r="11" spans="1:300">
      <c r="A11" s="1" t="s">
        <v>1</v>
      </c>
      <c r="B11" s="4" t="s">
        <v>15</v>
      </c>
      <c r="C11" s="3">
        <v>0.27</v>
      </c>
    </row>
    <row r="12" spans="1:300">
      <c r="A12" s="1" t="s">
        <v>1</v>
      </c>
      <c r="B12" s="4" t="s">
        <v>16</v>
      </c>
      <c r="C12" s="3" t="s">
        <v>40</v>
      </c>
    </row>
    <row r="13" spans="1:300">
      <c r="A13" s="1" t="s">
        <v>1</v>
      </c>
      <c r="B13" s="4" t="s">
        <v>17</v>
      </c>
      <c r="C13" s="3">
        <v>0.27</v>
      </c>
    </row>
    <row r="14" spans="1:300">
      <c r="A14" s="1" t="s">
        <v>1</v>
      </c>
      <c r="B14" s="4" t="s">
        <v>18</v>
      </c>
      <c r="C14" s="3">
        <v>0.24</v>
      </c>
    </row>
    <row r="15" spans="1:300">
      <c r="A15" s="1" t="s">
        <v>1</v>
      </c>
      <c r="B15" s="4" t="s">
        <v>19</v>
      </c>
      <c r="C15" s="3">
        <v>0.3</v>
      </c>
    </row>
    <row r="16" spans="1:300">
      <c r="A16" s="339" t="s">
        <v>1</v>
      </c>
      <c r="B16" s="339"/>
      <c r="C16" s="339"/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339"/>
      <c r="BQ16" s="339"/>
      <c r="BR16" s="339"/>
      <c r="BS16" s="339"/>
      <c r="BT16" s="339"/>
      <c r="BU16" s="339"/>
      <c r="BV16" s="339"/>
      <c r="BW16" s="339"/>
      <c r="BX16" s="339"/>
      <c r="BY16" s="339"/>
      <c r="BZ16" s="339"/>
      <c r="CA16" s="339"/>
      <c r="CB16" s="339"/>
      <c r="CC16" s="339"/>
      <c r="CD16" s="339"/>
      <c r="CE16" s="339"/>
      <c r="CF16" s="339"/>
      <c r="CG16" s="339"/>
      <c r="CH16" s="339"/>
      <c r="CI16" s="339"/>
      <c r="CJ16" s="339"/>
      <c r="CK16" s="339"/>
      <c r="CL16" s="339"/>
      <c r="CM16" s="339"/>
      <c r="CN16" s="339"/>
      <c r="CO16" s="339"/>
      <c r="CP16" s="339"/>
      <c r="CQ16" s="339"/>
      <c r="CR16" s="339"/>
      <c r="CS16" s="339"/>
      <c r="CT16" s="339"/>
      <c r="CU16" s="339"/>
      <c r="CV16" s="339"/>
      <c r="CW16" s="339"/>
      <c r="CX16" s="339"/>
      <c r="CY16" s="339"/>
      <c r="CZ16" s="339"/>
      <c r="DA16" s="339"/>
      <c r="DB16" s="339"/>
      <c r="DC16" s="339"/>
      <c r="DD16" s="339"/>
      <c r="DE16" s="339"/>
      <c r="DF16" s="339"/>
      <c r="DG16" s="339"/>
      <c r="DH16" s="339"/>
      <c r="DI16" s="339"/>
      <c r="DJ16" s="339"/>
      <c r="DK16" s="339"/>
      <c r="DL16" s="339"/>
      <c r="DM16" s="339"/>
      <c r="DN16" s="339"/>
      <c r="DO16" s="339"/>
      <c r="DP16" s="339"/>
      <c r="DQ16" s="339"/>
      <c r="DR16" s="339"/>
      <c r="DS16" s="339"/>
      <c r="DT16" s="339"/>
      <c r="DU16" s="339"/>
      <c r="DV16" s="339"/>
      <c r="DW16" s="339"/>
      <c r="DX16" s="339"/>
      <c r="DY16" s="339"/>
      <c r="DZ16" s="339"/>
      <c r="EA16" s="339"/>
      <c r="EB16" s="339"/>
      <c r="EC16" s="339"/>
      <c r="ED16" s="339"/>
      <c r="EE16" s="339"/>
      <c r="EF16" s="339"/>
      <c r="EG16" s="339"/>
      <c r="EH16" s="339"/>
      <c r="EI16" s="339"/>
      <c r="EJ16" s="339"/>
      <c r="EK16" s="339"/>
      <c r="EL16" s="339"/>
      <c r="EM16" s="339"/>
      <c r="EN16" s="339"/>
      <c r="EO16" s="339"/>
      <c r="EP16" s="339"/>
      <c r="EQ16" s="339"/>
      <c r="ER16" s="339"/>
      <c r="ES16" s="339"/>
      <c r="ET16" s="339"/>
      <c r="EU16" s="339"/>
      <c r="EV16" s="339"/>
      <c r="EW16" s="339"/>
      <c r="EX16" s="339"/>
      <c r="EY16" s="339"/>
      <c r="EZ16" s="339"/>
      <c r="FA16" s="339"/>
      <c r="FB16" s="339"/>
      <c r="FC16" s="339"/>
      <c r="FD16" s="339"/>
      <c r="FE16" s="339"/>
      <c r="FF16" s="339"/>
      <c r="FG16" s="339"/>
      <c r="FH16" s="339"/>
      <c r="FI16" s="339"/>
      <c r="FJ16" s="339"/>
      <c r="FK16" s="339"/>
      <c r="FL16" s="339"/>
      <c r="FM16" s="339"/>
      <c r="FN16" s="339"/>
      <c r="FO16" s="339"/>
      <c r="FP16" s="339"/>
      <c r="FQ16" s="339"/>
      <c r="FR16" s="339"/>
      <c r="FS16" s="339"/>
      <c r="FT16" s="339"/>
      <c r="FU16" s="339"/>
      <c r="FV16" s="339"/>
      <c r="FW16" s="339"/>
      <c r="FX16" s="339"/>
      <c r="FY16" s="339"/>
      <c r="FZ16" s="339"/>
      <c r="GA16" s="339"/>
      <c r="GB16" s="339"/>
      <c r="GC16" s="339"/>
      <c r="GD16" s="339"/>
      <c r="GE16" s="339"/>
      <c r="GF16" s="339"/>
      <c r="GG16" s="339"/>
      <c r="GH16" s="339"/>
      <c r="GI16" s="339"/>
      <c r="GJ16" s="339"/>
      <c r="GK16" s="339"/>
      <c r="GL16" s="339"/>
      <c r="GM16" s="339"/>
      <c r="GN16" s="339"/>
      <c r="GO16" s="339"/>
      <c r="GP16" s="339"/>
      <c r="GQ16" s="339"/>
      <c r="GR16" s="339"/>
      <c r="GS16" s="339"/>
      <c r="GT16" s="339"/>
      <c r="GU16" s="339"/>
      <c r="GV16" s="339"/>
      <c r="GW16" s="339"/>
      <c r="GX16" s="339"/>
      <c r="GY16" s="339"/>
      <c r="GZ16" s="339"/>
      <c r="HA16" s="339"/>
      <c r="HB16" s="339"/>
      <c r="HC16" s="339"/>
      <c r="HD16" s="339"/>
      <c r="HE16" s="339"/>
      <c r="HF16" s="339"/>
      <c r="HG16" s="339"/>
      <c r="HH16" s="339"/>
      <c r="HI16" s="339"/>
      <c r="HJ16" s="339"/>
      <c r="HK16" s="339"/>
      <c r="HL16" s="339"/>
      <c r="HM16" s="339"/>
      <c r="HN16" s="339"/>
      <c r="HO16" s="339"/>
      <c r="HP16" s="339"/>
      <c r="HQ16" s="339"/>
      <c r="HR16" s="339"/>
      <c r="HS16" s="339"/>
      <c r="HT16" s="339"/>
      <c r="HU16" s="339"/>
      <c r="HV16" s="339"/>
      <c r="HW16" s="339"/>
      <c r="HX16" s="339"/>
      <c r="HY16" s="339"/>
      <c r="HZ16" s="339"/>
      <c r="IA16" s="339"/>
      <c r="IB16" s="339"/>
      <c r="IC16" s="339"/>
      <c r="ID16" s="339"/>
      <c r="IE16" s="339"/>
      <c r="IF16" s="339"/>
      <c r="IG16" s="339"/>
      <c r="IH16" s="339"/>
      <c r="II16" s="339"/>
      <c r="IJ16" s="339"/>
      <c r="IK16" s="339"/>
      <c r="IL16" s="339"/>
      <c r="IM16" s="339"/>
      <c r="IN16" s="339"/>
      <c r="IO16" s="339"/>
      <c r="IP16" s="339"/>
      <c r="IQ16" s="339"/>
      <c r="IR16" s="339"/>
      <c r="IS16" s="339"/>
      <c r="IT16" s="339"/>
      <c r="IU16" s="339"/>
      <c r="IV16" s="339"/>
      <c r="IW16" s="339"/>
      <c r="IX16" s="339"/>
      <c r="IY16" s="339"/>
      <c r="IZ16" s="339"/>
      <c r="JA16" s="339"/>
      <c r="JB16" s="339"/>
      <c r="JC16" s="339"/>
      <c r="JD16" s="339"/>
      <c r="JE16" s="339"/>
      <c r="JF16" s="339"/>
      <c r="JG16" s="339"/>
      <c r="JH16" s="339"/>
      <c r="JI16" s="339"/>
      <c r="JJ16" s="339"/>
      <c r="JK16" s="339"/>
      <c r="JL16" s="339"/>
      <c r="JM16" s="339"/>
      <c r="JN16" s="339"/>
      <c r="JO16" s="339"/>
      <c r="JP16" s="339"/>
      <c r="JQ16" s="339"/>
      <c r="JR16" s="339"/>
      <c r="JS16" s="339"/>
      <c r="JT16" s="339"/>
      <c r="JU16" s="339"/>
      <c r="JV16" s="339"/>
      <c r="JW16" s="339"/>
      <c r="JX16" s="339"/>
      <c r="JY16" s="339"/>
      <c r="JZ16" s="339"/>
      <c r="KA16" s="339"/>
      <c r="KB16" s="339"/>
      <c r="KC16" s="339"/>
      <c r="KD16" s="339"/>
      <c r="KE16" s="339"/>
      <c r="KF16" s="339"/>
      <c r="KG16" s="339"/>
      <c r="KH16" s="339"/>
      <c r="KI16" s="339"/>
      <c r="KJ16" s="339"/>
      <c r="KK16" s="339"/>
      <c r="KL16" s="339"/>
      <c r="KM16" s="339"/>
      <c r="KN16" s="339"/>
    </row>
    <row r="17" spans="1:300">
      <c r="A17" s="1" t="s">
        <v>1</v>
      </c>
      <c r="B17" s="401" t="s">
        <v>20</v>
      </c>
      <c r="C17" s="401"/>
    </row>
    <row r="18" spans="1:300">
      <c r="A18" s="1" t="s">
        <v>1</v>
      </c>
      <c r="B18" s="4" t="s">
        <v>206</v>
      </c>
      <c r="C18" s="3" t="s">
        <v>22</v>
      </c>
    </row>
    <row r="19" spans="1:300">
      <c r="A19" s="1" t="s">
        <v>1</v>
      </c>
      <c r="B19" s="4" t="s">
        <v>207</v>
      </c>
      <c r="C19" s="3">
        <v>9.0909999999999993</v>
      </c>
    </row>
    <row r="20" spans="1:300">
      <c r="A20" s="1" t="s">
        <v>1</v>
      </c>
      <c r="B20" s="4" t="s">
        <v>23</v>
      </c>
      <c r="C20" s="3">
        <v>3.8460000000000001</v>
      </c>
    </row>
    <row r="21" spans="1:300">
      <c r="A21" s="1" t="s">
        <v>1</v>
      </c>
      <c r="B21" s="4" t="s">
        <v>24</v>
      </c>
      <c r="C21" s="3">
        <v>6.7610000000000001</v>
      </c>
    </row>
    <row r="22" spans="1:300">
      <c r="A22" s="339" t="s">
        <v>1</v>
      </c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  <c r="BY22" s="339"/>
      <c r="BZ22" s="339"/>
      <c r="CA22" s="339"/>
      <c r="CB22" s="339"/>
      <c r="CC22" s="339"/>
      <c r="CD22" s="339"/>
      <c r="CE22" s="339"/>
      <c r="CF22" s="339"/>
      <c r="CG22" s="339"/>
      <c r="CH22" s="339"/>
      <c r="CI22" s="339"/>
      <c r="CJ22" s="339"/>
      <c r="CK22" s="339"/>
      <c r="CL22" s="339"/>
      <c r="CM22" s="339"/>
      <c r="CN22" s="339"/>
      <c r="CO22" s="339"/>
      <c r="CP22" s="339"/>
      <c r="CQ22" s="339"/>
      <c r="CR22" s="339"/>
      <c r="CS22" s="339"/>
      <c r="CT22" s="339"/>
      <c r="CU22" s="339"/>
      <c r="CV22" s="339"/>
      <c r="CW22" s="339"/>
      <c r="CX22" s="339"/>
      <c r="CY22" s="339"/>
      <c r="CZ22" s="339"/>
      <c r="DA22" s="339"/>
      <c r="DB22" s="339"/>
      <c r="DC22" s="339"/>
      <c r="DD22" s="339"/>
      <c r="DE22" s="339"/>
      <c r="DF22" s="339"/>
      <c r="DG22" s="339"/>
      <c r="DH22" s="339"/>
      <c r="DI22" s="339"/>
      <c r="DJ22" s="339"/>
      <c r="DK22" s="339"/>
      <c r="DL22" s="339"/>
      <c r="DM22" s="339"/>
      <c r="DN22" s="339"/>
      <c r="DO22" s="339"/>
      <c r="DP22" s="339"/>
      <c r="DQ22" s="339"/>
      <c r="DR22" s="339"/>
      <c r="DS22" s="339"/>
      <c r="DT22" s="339"/>
      <c r="DU22" s="339"/>
      <c r="DV22" s="339"/>
      <c r="DW22" s="339"/>
      <c r="DX22" s="339"/>
      <c r="DY22" s="339"/>
      <c r="DZ22" s="339"/>
      <c r="EA22" s="339"/>
      <c r="EB22" s="339"/>
      <c r="EC22" s="339"/>
      <c r="ED22" s="339"/>
      <c r="EE22" s="339"/>
      <c r="EF22" s="339"/>
      <c r="EG22" s="339"/>
      <c r="EH22" s="339"/>
      <c r="EI22" s="339"/>
      <c r="EJ22" s="339"/>
      <c r="EK22" s="339"/>
      <c r="EL22" s="339"/>
      <c r="EM22" s="339"/>
      <c r="EN22" s="339"/>
      <c r="EO22" s="339"/>
      <c r="EP22" s="339"/>
      <c r="EQ22" s="339"/>
      <c r="ER22" s="339"/>
      <c r="ES22" s="339"/>
      <c r="ET22" s="339"/>
      <c r="EU22" s="339"/>
      <c r="EV22" s="339"/>
      <c r="EW22" s="339"/>
      <c r="EX22" s="339"/>
      <c r="EY22" s="339"/>
      <c r="EZ22" s="339"/>
      <c r="FA22" s="339"/>
      <c r="FB22" s="339"/>
      <c r="FC22" s="339"/>
      <c r="FD22" s="339"/>
      <c r="FE22" s="339"/>
      <c r="FF22" s="339"/>
      <c r="FG22" s="339"/>
      <c r="FH22" s="339"/>
      <c r="FI22" s="339"/>
      <c r="FJ22" s="339"/>
      <c r="FK22" s="339"/>
      <c r="FL22" s="339"/>
      <c r="FM22" s="339"/>
      <c r="FN22" s="339"/>
      <c r="FO22" s="339"/>
      <c r="FP22" s="339"/>
      <c r="FQ22" s="339"/>
      <c r="FR22" s="339"/>
      <c r="FS22" s="339"/>
      <c r="FT22" s="339"/>
      <c r="FU22" s="339"/>
      <c r="FV22" s="339"/>
      <c r="FW22" s="339"/>
      <c r="FX22" s="339"/>
      <c r="FY22" s="339"/>
      <c r="FZ22" s="339"/>
      <c r="GA22" s="339"/>
      <c r="GB22" s="339"/>
      <c r="GC22" s="339"/>
      <c r="GD22" s="339"/>
      <c r="GE22" s="339"/>
      <c r="GF22" s="339"/>
      <c r="GG22" s="339"/>
      <c r="GH22" s="339"/>
      <c r="GI22" s="339"/>
      <c r="GJ22" s="339"/>
      <c r="GK22" s="339"/>
      <c r="GL22" s="339"/>
      <c r="GM22" s="339"/>
      <c r="GN22" s="339"/>
      <c r="GO22" s="339"/>
      <c r="GP22" s="339"/>
      <c r="GQ22" s="339"/>
      <c r="GR22" s="339"/>
      <c r="GS22" s="339"/>
      <c r="GT22" s="339"/>
      <c r="GU22" s="339"/>
      <c r="GV22" s="339"/>
      <c r="GW22" s="339"/>
      <c r="GX22" s="339"/>
      <c r="GY22" s="339"/>
      <c r="GZ22" s="339"/>
      <c r="HA22" s="339"/>
      <c r="HB22" s="339"/>
      <c r="HC22" s="339"/>
      <c r="HD22" s="339"/>
      <c r="HE22" s="339"/>
      <c r="HF22" s="339"/>
      <c r="HG22" s="339"/>
      <c r="HH22" s="339"/>
      <c r="HI22" s="339"/>
      <c r="HJ22" s="339"/>
      <c r="HK22" s="339"/>
      <c r="HL22" s="339"/>
      <c r="HM22" s="339"/>
      <c r="HN22" s="339"/>
      <c r="HO22" s="339"/>
      <c r="HP22" s="339"/>
      <c r="HQ22" s="339"/>
      <c r="HR22" s="339"/>
      <c r="HS22" s="339"/>
      <c r="HT22" s="339"/>
      <c r="HU22" s="339"/>
      <c r="HV22" s="339"/>
      <c r="HW22" s="339"/>
      <c r="HX22" s="339"/>
      <c r="HY22" s="339"/>
      <c r="HZ22" s="339"/>
      <c r="IA22" s="339"/>
      <c r="IB22" s="339"/>
      <c r="IC22" s="339"/>
      <c r="ID22" s="339"/>
      <c r="IE22" s="339"/>
      <c r="IF22" s="339"/>
      <c r="IG22" s="339"/>
      <c r="IH22" s="339"/>
      <c r="II22" s="339"/>
      <c r="IJ22" s="339"/>
      <c r="IK22" s="339"/>
      <c r="IL22" s="339"/>
      <c r="IM22" s="339"/>
      <c r="IN22" s="339"/>
      <c r="IO22" s="339"/>
      <c r="IP22" s="339"/>
      <c r="IQ22" s="339"/>
      <c r="IR22" s="339"/>
      <c r="IS22" s="339"/>
      <c r="IT22" s="339"/>
      <c r="IU22" s="339"/>
      <c r="IV22" s="339"/>
      <c r="IW22" s="339"/>
      <c r="IX22" s="339"/>
      <c r="IY22" s="339"/>
      <c r="IZ22" s="339"/>
      <c r="JA22" s="339"/>
      <c r="JB22" s="339"/>
      <c r="JC22" s="339"/>
      <c r="JD22" s="339"/>
      <c r="JE22" s="339"/>
      <c r="JF22" s="339"/>
      <c r="JG22" s="339"/>
      <c r="JH22" s="339"/>
      <c r="JI22" s="339"/>
      <c r="JJ22" s="339"/>
      <c r="JK22" s="339"/>
      <c r="JL22" s="339"/>
      <c r="JM22" s="339"/>
      <c r="JN22" s="339"/>
      <c r="JO22" s="339"/>
      <c r="JP22" s="339"/>
      <c r="JQ22" s="339"/>
      <c r="JR22" s="339"/>
      <c r="JS22" s="339"/>
      <c r="JT22" s="339"/>
      <c r="JU22" s="339"/>
      <c r="JV22" s="339"/>
      <c r="JW22" s="339"/>
      <c r="JX22" s="339"/>
      <c r="JY22" s="339"/>
      <c r="JZ22" s="339"/>
      <c r="KA22" s="339"/>
      <c r="KB22" s="339"/>
      <c r="KC22" s="339"/>
      <c r="KD22" s="339"/>
      <c r="KE22" s="339"/>
      <c r="KF22" s="339"/>
      <c r="KG22" s="339"/>
      <c r="KH22" s="339"/>
      <c r="KI22" s="339"/>
      <c r="KJ22" s="339"/>
      <c r="KK22" s="339"/>
      <c r="KL22" s="339"/>
      <c r="KM22" s="339"/>
      <c r="KN22" s="339"/>
    </row>
    <row r="23" spans="1:300">
      <c r="A23" s="401" t="s">
        <v>208</v>
      </c>
      <c r="B23" s="401"/>
      <c r="C23" s="401"/>
      <c r="D23" s="401"/>
      <c r="E23" s="401"/>
      <c r="F23" s="401"/>
      <c r="G23" s="401"/>
      <c r="H23" s="401"/>
      <c r="I23" s="401"/>
      <c r="J23" s="401"/>
      <c r="K23" s="401"/>
    </row>
    <row r="24" spans="1:300">
      <c r="A24" s="401" t="s">
        <v>209</v>
      </c>
      <c r="B24" s="401"/>
      <c r="C24" s="401"/>
      <c r="D24" s="401"/>
      <c r="E24" s="401"/>
      <c r="F24" s="401"/>
      <c r="G24" s="401"/>
      <c r="H24" s="401"/>
      <c r="I24" s="401"/>
      <c r="J24" s="401"/>
      <c r="K24" s="401"/>
    </row>
    <row r="25" spans="1:300">
      <c r="A25" s="9" t="s">
        <v>1</v>
      </c>
      <c r="B25" s="9" t="s">
        <v>48</v>
      </c>
      <c r="C25" s="9" t="s">
        <v>49</v>
      </c>
      <c r="D25" s="9" t="s">
        <v>50</v>
      </c>
      <c r="E25" s="9" t="s">
        <v>51</v>
      </c>
      <c r="F25" s="9" t="s">
        <v>52</v>
      </c>
      <c r="G25" s="9" t="s">
        <v>53</v>
      </c>
      <c r="H25" s="9" t="s">
        <v>54</v>
      </c>
      <c r="I25" s="9" t="s">
        <v>55</v>
      </c>
      <c r="J25" s="9" t="s">
        <v>56</v>
      </c>
      <c r="K25" s="9" t="s">
        <v>57</v>
      </c>
    </row>
    <row r="26" spans="1:300">
      <c r="A26" s="4" t="s">
        <v>58</v>
      </c>
      <c r="B26" s="4" t="s">
        <v>69</v>
      </c>
      <c r="C26" s="4" t="s">
        <v>70</v>
      </c>
      <c r="D26" s="4" t="s">
        <v>71</v>
      </c>
      <c r="E26" s="3">
        <v>0.3</v>
      </c>
      <c r="F26" s="3">
        <v>11.1111111111111</v>
      </c>
      <c r="G26" s="3">
        <v>0.4</v>
      </c>
      <c r="H26" s="5">
        <v>128</v>
      </c>
      <c r="I26" s="4" t="s">
        <v>210</v>
      </c>
      <c r="J26" s="4" t="s">
        <v>64</v>
      </c>
      <c r="K26" s="3" t="s">
        <v>211</v>
      </c>
    </row>
    <row r="27" spans="1:300">
      <c r="A27" s="4" t="s">
        <v>58</v>
      </c>
      <c r="B27" s="4" t="s">
        <v>99</v>
      </c>
      <c r="C27" s="4" t="s">
        <v>100</v>
      </c>
      <c r="D27" s="4" t="s">
        <v>84</v>
      </c>
      <c r="E27" s="3">
        <v>0.24</v>
      </c>
      <c r="F27" s="3">
        <v>-11.1111111111111</v>
      </c>
      <c r="G27" s="3">
        <v>0.23</v>
      </c>
      <c r="H27" s="5">
        <v>2</v>
      </c>
      <c r="I27" s="4" t="s">
        <v>81</v>
      </c>
      <c r="J27" s="4" t="s">
        <v>40</v>
      </c>
      <c r="K27" s="3">
        <v>100</v>
      </c>
    </row>
    <row r="28" spans="1:300">
      <c r="A28" s="13" t="s">
        <v>1</v>
      </c>
      <c r="B28" s="13" t="s">
        <v>14</v>
      </c>
      <c r="C28" s="13" t="s">
        <v>1</v>
      </c>
      <c r="D28" s="13" t="s">
        <v>1</v>
      </c>
      <c r="E28" s="12">
        <v>0.24</v>
      </c>
      <c r="F28" s="12" t="s">
        <v>40</v>
      </c>
      <c r="G28" s="12" t="s">
        <v>40</v>
      </c>
      <c r="H28" s="12" t="s">
        <v>1</v>
      </c>
      <c r="I28" s="13" t="s">
        <v>1</v>
      </c>
      <c r="J28" s="13" t="s">
        <v>1</v>
      </c>
      <c r="K28" s="12" t="s">
        <v>1</v>
      </c>
    </row>
    <row r="29" spans="1:300">
      <c r="A29" s="11" t="s">
        <v>1</v>
      </c>
      <c r="B29" s="11" t="s">
        <v>15</v>
      </c>
      <c r="C29" s="11" t="s">
        <v>1</v>
      </c>
      <c r="D29" s="11" t="s">
        <v>1</v>
      </c>
      <c r="E29" s="10">
        <v>0.27</v>
      </c>
      <c r="F29" s="10" t="s">
        <v>1</v>
      </c>
      <c r="G29" s="10" t="s">
        <v>40</v>
      </c>
      <c r="H29" s="10" t="s">
        <v>1</v>
      </c>
      <c r="I29" s="11" t="s">
        <v>1</v>
      </c>
      <c r="J29" s="11" t="s">
        <v>1</v>
      </c>
      <c r="K29" s="10" t="s">
        <v>1</v>
      </c>
    </row>
    <row r="30" spans="1:300">
      <c r="A30" s="339" t="s">
        <v>1</v>
      </c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339"/>
      <c r="AI30" s="339"/>
      <c r="AJ30" s="339"/>
      <c r="AK30" s="339"/>
      <c r="AL30" s="339"/>
      <c r="AM30" s="339"/>
      <c r="AN30" s="339"/>
      <c r="AO30" s="339"/>
      <c r="AP30" s="339"/>
      <c r="AQ30" s="339"/>
      <c r="AR30" s="339"/>
      <c r="AS30" s="339"/>
      <c r="AT30" s="339"/>
      <c r="AU30" s="339"/>
      <c r="AV30" s="339"/>
      <c r="AW30" s="339"/>
      <c r="AX30" s="339"/>
      <c r="AY30" s="339"/>
      <c r="AZ30" s="339"/>
      <c r="BA30" s="339"/>
      <c r="BB30" s="339"/>
      <c r="BC30" s="339"/>
      <c r="BD30" s="339"/>
      <c r="BE30" s="339"/>
      <c r="BF30" s="339"/>
      <c r="BG30" s="339"/>
      <c r="BH30" s="339"/>
      <c r="BI30" s="339"/>
      <c r="BJ30" s="339"/>
      <c r="BK30" s="339"/>
      <c r="BL30" s="339"/>
      <c r="BM30" s="339"/>
      <c r="BN30" s="339"/>
      <c r="BO30" s="339"/>
      <c r="BP30" s="339"/>
      <c r="BQ30" s="339"/>
      <c r="BR30" s="339"/>
      <c r="BS30" s="339"/>
      <c r="BT30" s="339"/>
      <c r="BU30" s="339"/>
      <c r="BV30" s="339"/>
      <c r="BW30" s="339"/>
      <c r="BX30" s="339"/>
      <c r="BY30" s="339"/>
      <c r="BZ30" s="339"/>
      <c r="CA30" s="339"/>
      <c r="CB30" s="339"/>
      <c r="CC30" s="339"/>
      <c r="CD30" s="339"/>
      <c r="CE30" s="339"/>
      <c r="CF30" s="339"/>
      <c r="CG30" s="339"/>
      <c r="CH30" s="339"/>
      <c r="CI30" s="339"/>
      <c r="CJ30" s="339"/>
      <c r="CK30" s="339"/>
      <c r="CL30" s="339"/>
      <c r="CM30" s="339"/>
      <c r="CN30" s="339"/>
      <c r="CO30" s="339"/>
      <c r="CP30" s="339"/>
      <c r="CQ30" s="339"/>
      <c r="CR30" s="339"/>
      <c r="CS30" s="339"/>
      <c r="CT30" s="339"/>
      <c r="CU30" s="339"/>
      <c r="CV30" s="339"/>
      <c r="CW30" s="339"/>
      <c r="CX30" s="339"/>
      <c r="CY30" s="339"/>
      <c r="CZ30" s="339"/>
      <c r="DA30" s="339"/>
      <c r="DB30" s="339"/>
      <c r="DC30" s="339"/>
      <c r="DD30" s="339"/>
      <c r="DE30" s="339"/>
      <c r="DF30" s="339"/>
      <c r="DG30" s="339"/>
      <c r="DH30" s="339"/>
      <c r="DI30" s="339"/>
      <c r="DJ30" s="339"/>
      <c r="DK30" s="339"/>
      <c r="DL30" s="339"/>
      <c r="DM30" s="339"/>
      <c r="DN30" s="339"/>
      <c r="DO30" s="339"/>
      <c r="DP30" s="339"/>
      <c r="DQ30" s="339"/>
      <c r="DR30" s="339"/>
      <c r="DS30" s="339"/>
      <c r="DT30" s="339"/>
      <c r="DU30" s="339"/>
      <c r="DV30" s="339"/>
      <c r="DW30" s="339"/>
      <c r="DX30" s="339"/>
      <c r="DY30" s="339"/>
      <c r="DZ30" s="339"/>
      <c r="EA30" s="339"/>
      <c r="EB30" s="339"/>
      <c r="EC30" s="339"/>
      <c r="ED30" s="339"/>
      <c r="EE30" s="339"/>
      <c r="EF30" s="339"/>
      <c r="EG30" s="339"/>
      <c r="EH30" s="339"/>
      <c r="EI30" s="339"/>
      <c r="EJ30" s="339"/>
      <c r="EK30" s="339"/>
      <c r="EL30" s="339"/>
      <c r="EM30" s="339"/>
      <c r="EN30" s="339"/>
      <c r="EO30" s="339"/>
      <c r="EP30" s="339"/>
      <c r="EQ30" s="339"/>
      <c r="ER30" s="339"/>
      <c r="ES30" s="339"/>
      <c r="ET30" s="339"/>
      <c r="EU30" s="339"/>
      <c r="EV30" s="339"/>
      <c r="EW30" s="339"/>
      <c r="EX30" s="339"/>
      <c r="EY30" s="339"/>
      <c r="EZ30" s="339"/>
      <c r="FA30" s="339"/>
      <c r="FB30" s="339"/>
      <c r="FC30" s="339"/>
      <c r="FD30" s="339"/>
      <c r="FE30" s="339"/>
      <c r="FF30" s="339"/>
      <c r="FG30" s="339"/>
      <c r="FH30" s="339"/>
      <c r="FI30" s="339"/>
      <c r="FJ30" s="339"/>
      <c r="FK30" s="339"/>
      <c r="FL30" s="339"/>
      <c r="FM30" s="339"/>
      <c r="FN30" s="339"/>
      <c r="FO30" s="339"/>
      <c r="FP30" s="339"/>
      <c r="FQ30" s="339"/>
      <c r="FR30" s="339"/>
      <c r="FS30" s="339"/>
      <c r="FT30" s="339"/>
      <c r="FU30" s="339"/>
      <c r="FV30" s="339"/>
      <c r="FW30" s="339"/>
      <c r="FX30" s="339"/>
      <c r="FY30" s="339"/>
      <c r="FZ30" s="339"/>
      <c r="GA30" s="339"/>
      <c r="GB30" s="339"/>
      <c r="GC30" s="339"/>
      <c r="GD30" s="339"/>
      <c r="GE30" s="339"/>
      <c r="GF30" s="339"/>
      <c r="GG30" s="339"/>
      <c r="GH30" s="339"/>
      <c r="GI30" s="339"/>
      <c r="GJ30" s="339"/>
      <c r="GK30" s="339"/>
      <c r="GL30" s="339"/>
      <c r="GM30" s="339"/>
      <c r="GN30" s="339"/>
      <c r="GO30" s="339"/>
      <c r="GP30" s="339"/>
      <c r="GQ30" s="339"/>
      <c r="GR30" s="339"/>
      <c r="GS30" s="339"/>
      <c r="GT30" s="339"/>
      <c r="GU30" s="339"/>
      <c r="GV30" s="339"/>
      <c r="GW30" s="339"/>
      <c r="GX30" s="339"/>
      <c r="GY30" s="339"/>
      <c r="GZ30" s="339"/>
      <c r="HA30" s="339"/>
      <c r="HB30" s="339"/>
      <c r="HC30" s="339"/>
      <c r="HD30" s="339"/>
      <c r="HE30" s="339"/>
      <c r="HF30" s="339"/>
      <c r="HG30" s="339"/>
      <c r="HH30" s="339"/>
      <c r="HI30" s="339"/>
      <c r="HJ30" s="339"/>
      <c r="HK30" s="339"/>
      <c r="HL30" s="339"/>
      <c r="HM30" s="339"/>
      <c r="HN30" s="339"/>
      <c r="HO30" s="339"/>
      <c r="HP30" s="339"/>
      <c r="HQ30" s="339"/>
      <c r="HR30" s="339"/>
      <c r="HS30" s="339"/>
      <c r="HT30" s="339"/>
      <c r="HU30" s="339"/>
      <c r="HV30" s="339"/>
      <c r="HW30" s="339"/>
      <c r="HX30" s="339"/>
      <c r="HY30" s="339"/>
      <c r="HZ30" s="339"/>
      <c r="IA30" s="339"/>
      <c r="IB30" s="339"/>
      <c r="IC30" s="339"/>
      <c r="ID30" s="339"/>
      <c r="IE30" s="339"/>
      <c r="IF30" s="339"/>
      <c r="IG30" s="339"/>
      <c r="IH30" s="339"/>
      <c r="II30" s="339"/>
      <c r="IJ30" s="339"/>
      <c r="IK30" s="339"/>
      <c r="IL30" s="339"/>
      <c r="IM30" s="339"/>
      <c r="IN30" s="339"/>
      <c r="IO30" s="339"/>
      <c r="IP30" s="339"/>
      <c r="IQ30" s="339"/>
      <c r="IR30" s="339"/>
      <c r="IS30" s="339"/>
      <c r="IT30" s="339"/>
      <c r="IU30" s="339"/>
      <c r="IV30" s="339"/>
      <c r="IW30" s="339"/>
      <c r="IX30" s="339"/>
      <c r="IY30" s="339"/>
      <c r="IZ30" s="339"/>
      <c r="JA30" s="339"/>
      <c r="JB30" s="339"/>
      <c r="JC30" s="339"/>
      <c r="JD30" s="339"/>
      <c r="JE30" s="339"/>
      <c r="JF30" s="339"/>
      <c r="JG30" s="339"/>
      <c r="JH30" s="339"/>
      <c r="JI30" s="339"/>
      <c r="JJ30" s="339"/>
      <c r="JK30" s="339"/>
      <c r="JL30" s="339"/>
      <c r="JM30" s="339"/>
      <c r="JN30" s="339"/>
      <c r="JO30" s="339"/>
      <c r="JP30" s="339"/>
      <c r="JQ30" s="339"/>
      <c r="JR30" s="339"/>
      <c r="JS30" s="339"/>
      <c r="JT30" s="339"/>
      <c r="JU30" s="339"/>
      <c r="JV30" s="339"/>
      <c r="JW30" s="339"/>
      <c r="JX30" s="339"/>
      <c r="JY30" s="339"/>
      <c r="JZ30" s="339"/>
      <c r="KA30" s="339"/>
      <c r="KB30" s="339"/>
      <c r="KC30" s="339"/>
      <c r="KD30" s="339"/>
      <c r="KE30" s="339"/>
      <c r="KF30" s="339"/>
      <c r="KG30" s="339"/>
      <c r="KH30" s="339"/>
      <c r="KI30" s="339"/>
      <c r="KJ30" s="339"/>
      <c r="KK30" s="339"/>
      <c r="KL30" s="339"/>
      <c r="KM30" s="339"/>
      <c r="KN30" s="339"/>
    </row>
  </sheetData>
  <mergeCells count="9">
    <mergeCell ref="A23:K23"/>
    <mergeCell ref="A24:K24"/>
    <mergeCell ref="A30:KN30"/>
    <mergeCell ref="A3:KN3"/>
    <mergeCell ref="A7:KN7"/>
    <mergeCell ref="B8:C8"/>
    <mergeCell ref="A16:KN16"/>
    <mergeCell ref="B17:C17"/>
    <mergeCell ref="A22:KN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A07E-62A4-4ECD-AEC8-BA00946A099B}">
  <sheetPr>
    <outlinePr summaryBelow="0"/>
  </sheetPr>
  <dimension ref="A1:KN30"/>
  <sheetViews>
    <sheetView topLeftCell="A7" workbookViewId="0">
      <selection activeCell="C14" sqref="C14"/>
    </sheetView>
  </sheetViews>
  <sheetFormatPr defaultRowHeight="15"/>
  <cols>
    <col min="1" max="1" width="2.5703125" bestFit="1" customWidth="1"/>
    <col min="2" max="2" width="50" bestFit="1" customWidth="1"/>
    <col min="3" max="3" width="31.42578125" bestFit="1" customWidth="1"/>
    <col min="4" max="301" width="20.7109375" bestFit="1" customWidth="1"/>
  </cols>
  <sheetData>
    <row r="1" spans="1:300">
      <c r="A1" s="1" t="s">
        <v>1</v>
      </c>
      <c r="B1" s="2" t="s">
        <v>2</v>
      </c>
      <c r="C1" s="2" t="s">
        <v>3</v>
      </c>
    </row>
    <row r="2" spans="1:300">
      <c r="A2" s="1" t="s">
        <v>1</v>
      </c>
      <c r="B2" s="2" t="s">
        <v>4</v>
      </c>
      <c r="C2" s="1" t="s">
        <v>5</v>
      </c>
    </row>
    <row r="3" spans="1:300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39"/>
      <c r="W3" s="339"/>
      <c r="X3" s="339"/>
      <c r="Y3" s="339"/>
      <c r="Z3" s="339"/>
      <c r="AA3" s="339"/>
      <c r="AB3" s="339"/>
      <c r="AC3" s="339"/>
      <c r="AD3" s="339"/>
      <c r="AE3" s="339"/>
      <c r="AF3" s="339"/>
      <c r="AG3" s="339"/>
      <c r="AH3" s="339"/>
      <c r="AI3" s="339"/>
      <c r="AJ3" s="339"/>
      <c r="AK3" s="339"/>
      <c r="AL3" s="339"/>
      <c r="AM3" s="339"/>
      <c r="AN3" s="339"/>
      <c r="AO3" s="339"/>
      <c r="AP3" s="339"/>
      <c r="AQ3" s="339"/>
      <c r="AR3" s="339"/>
      <c r="AS3" s="339"/>
      <c r="AT3" s="339"/>
      <c r="AU3" s="339"/>
      <c r="AV3" s="339"/>
      <c r="AW3" s="339"/>
      <c r="AX3" s="339"/>
      <c r="AY3" s="339"/>
      <c r="AZ3" s="339"/>
      <c r="BA3" s="339"/>
      <c r="BB3" s="339"/>
      <c r="BC3" s="339"/>
      <c r="BD3" s="339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Q3" s="339"/>
      <c r="BR3" s="339"/>
      <c r="BS3" s="339"/>
      <c r="BT3" s="339"/>
      <c r="BU3" s="339"/>
      <c r="BV3" s="339"/>
      <c r="BW3" s="339"/>
      <c r="BX3" s="339"/>
      <c r="BY3" s="339"/>
      <c r="BZ3" s="339"/>
      <c r="CA3" s="339"/>
      <c r="CB3" s="339"/>
      <c r="CC3" s="339"/>
      <c r="CD3" s="339"/>
      <c r="CE3" s="339"/>
      <c r="CF3" s="339"/>
      <c r="CG3" s="339"/>
      <c r="CH3" s="339"/>
      <c r="CI3" s="339"/>
      <c r="CJ3" s="339"/>
      <c r="CK3" s="339"/>
      <c r="CL3" s="339"/>
      <c r="CM3" s="339"/>
      <c r="CN3" s="339"/>
      <c r="CO3" s="339"/>
      <c r="CP3" s="339"/>
      <c r="CQ3" s="339"/>
      <c r="CR3" s="339"/>
      <c r="CS3" s="339"/>
      <c r="CT3" s="339"/>
      <c r="CU3" s="339"/>
      <c r="CV3" s="339"/>
      <c r="CW3" s="339"/>
      <c r="CX3" s="339"/>
      <c r="CY3" s="339"/>
      <c r="CZ3" s="339"/>
      <c r="DA3" s="339"/>
      <c r="DB3" s="339"/>
      <c r="DC3" s="339"/>
      <c r="DD3" s="339"/>
      <c r="DE3" s="339"/>
      <c r="DF3" s="339"/>
      <c r="DG3" s="339"/>
      <c r="DH3" s="339"/>
      <c r="DI3" s="339"/>
      <c r="DJ3" s="339"/>
      <c r="DK3" s="339"/>
      <c r="DL3" s="339"/>
      <c r="DM3" s="339"/>
      <c r="DN3" s="339"/>
      <c r="DO3" s="339"/>
      <c r="DP3" s="339"/>
      <c r="DQ3" s="339"/>
      <c r="DR3" s="339"/>
      <c r="DS3" s="339"/>
      <c r="DT3" s="339"/>
      <c r="DU3" s="339"/>
      <c r="DV3" s="339"/>
      <c r="DW3" s="339"/>
      <c r="DX3" s="339"/>
      <c r="DY3" s="339"/>
      <c r="DZ3" s="339"/>
      <c r="EA3" s="339"/>
      <c r="EB3" s="339"/>
      <c r="EC3" s="339"/>
      <c r="ED3" s="339"/>
      <c r="EE3" s="339"/>
      <c r="EF3" s="339"/>
      <c r="EG3" s="339"/>
      <c r="EH3" s="339"/>
      <c r="EI3" s="339"/>
      <c r="EJ3" s="339"/>
      <c r="EK3" s="339"/>
      <c r="EL3" s="339"/>
      <c r="EM3" s="339"/>
      <c r="EN3" s="339"/>
      <c r="EO3" s="339"/>
      <c r="EP3" s="339"/>
      <c r="EQ3" s="339"/>
      <c r="ER3" s="339"/>
      <c r="ES3" s="339"/>
      <c r="ET3" s="339"/>
      <c r="EU3" s="339"/>
      <c r="EV3" s="339"/>
      <c r="EW3" s="339"/>
      <c r="EX3" s="339"/>
      <c r="EY3" s="339"/>
      <c r="EZ3" s="339"/>
      <c r="FA3" s="339"/>
      <c r="FB3" s="339"/>
      <c r="FC3" s="339"/>
      <c r="FD3" s="339"/>
      <c r="FE3" s="339"/>
      <c r="FF3" s="339"/>
      <c r="FG3" s="339"/>
      <c r="FH3" s="339"/>
      <c r="FI3" s="339"/>
      <c r="FJ3" s="339"/>
      <c r="FK3" s="339"/>
      <c r="FL3" s="339"/>
      <c r="FM3" s="339"/>
      <c r="FN3" s="339"/>
      <c r="FO3" s="339"/>
      <c r="FP3" s="339"/>
      <c r="FQ3" s="339"/>
      <c r="FR3" s="339"/>
      <c r="FS3" s="339"/>
      <c r="FT3" s="339"/>
      <c r="FU3" s="339"/>
      <c r="FV3" s="339"/>
      <c r="FW3" s="339"/>
      <c r="FX3" s="339"/>
      <c r="FY3" s="339"/>
      <c r="FZ3" s="339"/>
      <c r="GA3" s="339"/>
      <c r="GB3" s="339"/>
      <c r="GC3" s="339"/>
      <c r="GD3" s="339"/>
      <c r="GE3" s="339"/>
      <c r="GF3" s="339"/>
      <c r="GG3" s="339"/>
      <c r="GH3" s="339"/>
      <c r="GI3" s="339"/>
      <c r="GJ3" s="339"/>
      <c r="GK3" s="339"/>
      <c r="GL3" s="339"/>
      <c r="GM3" s="339"/>
      <c r="GN3" s="339"/>
      <c r="GO3" s="339"/>
      <c r="GP3" s="339"/>
      <c r="GQ3" s="339"/>
      <c r="GR3" s="339"/>
      <c r="GS3" s="339"/>
      <c r="GT3" s="339"/>
      <c r="GU3" s="339"/>
      <c r="GV3" s="339"/>
      <c r="GW3" s="339"/>
      <c r="GX3" s="339"/>
      <c r="GY3" s="339"/>
      <c r="GZ3" s="339"/>
      <c r="HA3" s="339"/>
      <c r="HB3" s="339"/>
      <c r="HC3" s="339"/>
      <c r="HD3" s="339"/>
      <c r="HE3" s="339"/>
      <c r="HF3" s="339"/>
      <c r="HG3" s="339"/>
      <c r="HH3" s="339"/>
      <c r="HI3" s="339"/>
      <c r="HJ3" s="339"/>
      <c r="HK3" s="339"/>
      <c r="HL3" s="339"/>
      <c r="HM3" s="339"/>
      <c r="HN3" s="339"/>
      <c r="HO3" s="339"/>
      <c r="HP3" s="339"/>
      <c r="HQ3" s="339"/>
      <c r="HR3" s="339"/>
      <c r="HS3" s="339"/>
      <c r="HT3" s="339"/>
      <c r="HU3" s="339"/>
      <c r="HV3" s="339"/>
      <c r="HW3" s="339"/>
      <c r="HX3" s="339"/>
      <c r="HY3" s="339"/>
      <c r="HZ3" s="339"/>
      <c r="IA3" s="339"/>
      <c r="IB3" s="339"/>
      <c r="IC3" s="339"/>
      <c r="ID3" s="339"/>
      <c r="IE3" s="339"/>
      <c r="IF3" s="339"/>
      <c r="IG3" s="339"/>
      <c r="IH3" s="339"/>
      <c r="II3" s="339"/>
      <c r="IJ3" s="339"/>
      <c r="IK3" s="339"/>
      <c r="IL3" s="339"/>
      <c r="IM3" s="339"/>
      <c r="IN3" s="339"/>
      <c r="IO3" s="339"/>
      <c r="IP3" s="339"/>
      <c r="IQ3" s="339"/>
      <c r="IR3" s="339"/>
      <c r="IS3" s="339"/>
      <c r="IT3" s="339"/>
      <c r="IU3" s="339"/>
      <c r="IV3" s="339"/>
      <c r="IW3" s="339"/>
      <c r="IX3" s="339"/>
      <c r="IY3" s="339"/>
      <c r="IZ3" s="339"/>
      <c r="JA3" s="339"/>
      <c r="JB3" s="339"/>
      <c r="JC3" s="339"/>
      <c r="JD3" s="339"/>
      <c r="JE3" s="339"/>
      <c r="JF3" s="339"/>
      <c r="JG3" s="339"/>
      <c r="JH3" s="339"/>
      <c r="JI3" s="339"/>
      <c r="JJ3" s="339"/>
      <c r="JK3" s="339"/>
      <c r="JL3" s="339"/>
      <c r="JM3" s="339"/>
      <c r="JN3" s="339"/>
      <c r="JO3" s="339"/>
      <c r="JP3" s="339"/>
      <c r="JQ3" s="339"/>
      <c r="JR3" s="339"/>
      <c r="JS3" s="339"/>
      <c r="JT3" s="339"/>
      <c r="JU3" s="339"/>
      <c r="JV3" s="339"/>
      <c r="JW3" s="339"/>
      <c r="JX3" s="339"/>
      <c r="JY3" s="339"/>
      <c r="JZ3" s="339"/>
      <c r="KA3" s="339"/>
      <c r="KB3" s="339"/>
      <c r="KC3" s="339"/>
      <c r="KD3" s="339"/>
      <c r="KE3" s="339"/>
      <c r="KF3" s="339"/>
      <c r="KG3" s="339"/>
      <c r="KH3" s="339"/>
      <c r="KI3" s="339"/>
      <c r="KJ3" s="339"/>
      <c r="KK3" s="339"/>
      <c r="KL3" s="339"/>
      <c r="KM3" s="339"/>
      <c r="KN3" s="339"/>
    </row>
    <row r="4" spans="1:300">
      <c r="A4" s="1" t="s">
        <v>1</v>
      </c>
      <c r="B4" s="2" t="s">
        <v>6</v>
      </c>
      <c r="C4" s="1" t="s">
        <v>204</v>
      </c>
    </row>
    <row r="5" spans="1:300">
      <c r="A5" s="1" t="s">
        <v>1</v>
      </c>
      <c r="B5" s="2" t="s">
        <v>8</v>
      </c>
      <c r="C5" s="1" t="s">
        <v>116</v>
      </c>
    </row>
    <row r="6" spans="1:300">
      <c r="A6" s="1" t="s">
        <v>1</v>
      </c>
      <c r="B6" s="2" t="s">
        <v>10</v>
      </c>
      <c r="C6" s="1" t="s">
        <v>11</v>
      </c>
    </row>
    <row r="7" spans="1:300">
      <c r="A7" s="339" t="s">
        <v>1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339"/>
      <c r="CK7" s="339"/>
      <c r="CL7" s="339"/>
      <c r="CM7" s="339"/>
      <c r="CN7" s="339"/>
      <c r="CO7" s="339"/>
      <c r="CP7" s="339"/>
      <c r="CQ7" s="339"/>
      <c r="CR7" s="339"/>
      <c r="CS7" s="339"/>
      <c r="CT7" s="339"/>
      <c r="CU7" s="339"/>
      <c r="CV7" s="339"/>
      <c r="CW7" s="339"/>
      <c r="CX7" s="339"/>
      <c r="CY7" s="339"/>
      <c r="CZ7" s="339"/>
      <c r="DA7" s="339"/>
      <c r="DB7" s="339"/>
      <c r="DC7" s="339"/>
      <c r="DD7" s="339"/>
      <c r="DE7" s="339"/>
      <c r="DF7" s="339"/>
      <c r="DG7" s="339"/>
      <c r="DH7" s="339"/>
      <c r="DI7" s="339"/>
      <c r="DJ7" s="339"/>
      <c r="DK7" s="339"/>
      <c r="DL7" s="339"/>
      <c r="DM7" s="339"/>
      <c r="DN7" s="339"/>
      <c r="DO7" s="339"/>
      <c r="DP7" s="339"/>
      <c r="DQ7" s="339"/>
      <c r="DR7" s="339"/>
      <c r="DS7" s="339"/>
      <c r="DT7" s="339"/>
      <c r="DU7" s="339"/>
      <c r="DV7" s="339"/>
      <c r="DW7" s="339"/>
      <c r="DX7" s="339"/>
      <c r="DY7" s="339"/>
      <c r="DZ7" s="339"/>
      <c r="EA7" s="339"/>
      <c r="EB7" s="339"/>
      <c r="EC7" s="339"/>
      <c r="ED7" s="339"/>
      <c r="EE7" s="339"/>
      <c r="EF7" s="339"/>
      <c r="EG7" s="339"/>
      <c r="EH7" s="339"/>
      <c r="EI7" s="339"/>
      <c r="EJ7" s="339"/>
      <c r="EK7" s="339"/>
      <c r="EL7" s="339"/>
      <c r="EM7" s="339"/>
      <c r="EN7" s="339"/>
      <c r="EO7" s="339"/>
      <c r="EP7" s="339"/>
      <c r="EQ7" s="339"/>
      <c r="ER7" s="339"/>
      <c r="ES7" s="339"/>
      <c r="ET7" s="339"/>
      <c r="EU7" s="339"/>
      <c r="EV7" s="339"/>
      <c r="EW7" s="339"/>
      <c r="EX7" s="339"/>
      <c r="EY7" s="339"/>
      <c r="EZ7" s="339"/>
      <c r="FA7" s="339"/>
      <c r="FB7" s="339"/>
      <c r="FC7" s="339"/>
      <c r="FD7" s="339"/>
      <c r="FE7" s="339"/>
      <c r="FF7" s="339"/>
      <c r="FG7" s="339"/>
      <c r="FH7" s="339"/>
      <c r="FI7" s="339"/>
      <c r="FJ7" s="339"/>
      <c r="FK7" s="339"/>
      <c r="FL7" s="339"/>
      <c r="FM7" s="339"/>
      <c r="FN7" s="339"/>
      <c r="FO7" s="339"/>
      <c r="FP7" s="339"/>
      <c r="FQ7" s="339"/>
      <c r="FR7" s="339"/>
      <c r="FS7" s="339"/>
      <c r="FT7" s="339"/>
      <c r="FU7" s="339"/>
      <c r="FV7" s="339"/>
      <c r="FW7" s="339"/>
      <c r="FX7" s="339"/>
      <c r="FY7" s="339"/>
      <c r="FZ7" s="339"/>
      <c r="GA7" s="339"/>
      <c r="GB7" s="339"/>
      <c r="GC7" s="339"/>
      <c r="GD7" s="339"/>
      <c r="GE7" s="339"/>
      <c r="GF7" s="339"/>
      <c r="GG7" s="339"/>
      <c r="GH7" s="339"/>
      <c r="GI7" s="339"/>
      <c r="GJ7" s="339"/>
      <c r="GK7" s="339"/>
      <c r="GL7" s="339"/>
      <c r="GM7" s="339"/>
      <c r="GN7" s="339"/>
      <c r="GO7" s="339"/>
      <c r="GP7" s="339"/>
      <c r="GQ7" s="339"/>
      <c r="GR7" s="339"/>
      <c r="GS7" s="339"/>
      <c r="GT7" s="339"/>
      <c r="GU7" s="339"/>
      <c r="GV7" s="339"/>
      <c r="GW7" s="339"/>
      <c r="GX7" s="339"/>
      <c r="GY7" s="339"/>
      <c r="GZ7" s="339"/>
      <c r="HA7" s="339"/>
      <c r="HB7" s="339"/>
      <c r="HC7" s="339"/>
      <c r="HD7" s="339"/>
      <c r="HE7" s="339"/>
      <c r="HF7" s="339"/>
      <c r="HG7" s="339"/>
      <c r="HH7" s="339"/>
      <c r="HI7" s="339"/>
      <c r="HJ7" s="339"/>
      <c r="HK7" s="339"/>
      <c r="HL7" s="339"/>
      <c r="HM7" s="339"/>
      <c r="HN7" s="339"/>
      <c r="HO7" s="339"/>
      <c r="HP7" s="339"/>
      <c r="HQ7" s="339"/>
      <c r="HR7" s="339"/>
      <c r="HS7" s="339"/>
      <c r="HT7" s="339"/>
      <c r="HU7" s="339"/>
      <c r="HV7" s="339"/>
      <c r="HW7" s="339"/>
      <c r="HX7" s="339"/>
      <c r="HY7" s="339"/>
      <c r="HZ7" s="339"/>
      <c r="IA7" s="339"/>
      <c r="IB7" s="339"/>
      <c r="IC7" s="339"/>
      <c r="ID7" s="339"/>
      <c r="IE7" s="339"/>
      <c r="IF7" s="339"/>
      <c r="IG7" s="339"/>
      <c r="IH7" s="339"/>
      <c r="II7" s="339"/>
      <c r="IJ7" s="339"/>
      <c r="IK7" s="339"/>
      <c r="IL7" s="339"/>
      <c r="IM7" s="339"/>
      <c r="IN7" s="339"/>
      <c r="IO7" s="339"/>
      <c r="IP7" s="339"/>
      <c r="IQ7" s="339"/>
      <c r="IR7" s="339"/>
      <c r="IS7" s="339"/>
      <c r="IT7" s="339"/>
      <c r="IU7" s="339"/>
      <c r="IV7" s="339"/>
      <c r="IW7" s="339"/>
      <c r="IX7" s="339"/>
      <c r="IY7" s="339"/>
      <c r="IZ7" s="339"/>
      <c r="JA7" s="339"/>
      <c r="JB7" s="339"/>
      <c r="JC7" s="339"/>
      <c r="JD7" s="339"/>
      <c r="JE7" s="339"/>
      <c r="JF7" s="339"/>
      <c r="JG7" s="339"/>
      <c r="JH7" s="339"/>
      <c r="JI7" s="339"/>
      <c r="JJ7" s="339"/>
      <c r="JK7" s="339"/>
      <c r="JL7" s="339"/>
      <c r="JM7" s="339"/>
      <c r="JN7" s="339"/>
      <c r="JO7" s="339"/>
      <c r="JP7" s="339"/>
      <c r="JQ7" s="339"/>
      <c r="JR7" s="339"/>
      <c r="JS7" s="339"/>
      <c r="JT7" s="339"/>
      <c r="JU7" s="339"/>
      <c r="JV7" s="339"/>
      <c r="JW7" s="339"/>
      <c r="JX7" s="339"/>
      <c r="JY7" s="339"/>
      <c r="JZ7" s="339"/>
      <c r="KA7" s="339"/>
      <c r="KB7" s="339"/>
      <c r="KC7" s="339"/>
      <c r="KD7" s="339"/>
      <c r="KE7" s="339"/>
      <c r="KF7" s="339"/>
      <c r="KG7" s="339"/>
      <c r="KH7" s="339"/>
      <c r="KI7" s="339"/>
      <c r="KJ7" s="339"/>
      <c r="KK7" s="339"/>
      <c r="KL7" s="339"/>
      <c r="KM7" s="339"/>
      <c r="KN7" s="339"/>
    </row>
    <row r="8" spans="1:300">
      <c r="A8" s="1" t="s">
        <v>1</v>
      </c>
      <c r="B8" s="401" t="s">
        <v>205</v>
      </c>
      <c r="C8" s="401"/>
    </row>
    <row r="9" spans="1:300">
      <c r="A9" s="1" t="s">
        <v>1</v>
      </c>
      <c r="B9" s="15" t="s">
        <v>13</v>
      </c>
      <c r="C9" s="14">
        <v>0.26</v>
      </c>
    </row>
    <row r="10" spans="1:300">
      <c r="A10" s="1" t="s">
        <v>1</v>
      </c>
      <c r="B10" s="4" t="s">
        <v>14</v>
      </c>
      <c r="C10" s="3">
        <v>0.22</v>
      </c>
    </row>
    <row r="11" spans="1:300">
      <c r="A11" s="1" t="s">
        <v>1</v>
      </c>
      <c r="B11" s="4" t="s">
        <v>15</v>
      </c>
      <c r="C11" s="3">
        <v>0.26</v>
      </c>
    </row>
    <row r="12" spans="1:300">
      <c r="A12" s="1" t="s">
        <v>1</v>
      </c>
      <c r="B12" s="4" t="s">
        <v>16</v>
      </c>
      <c r="C12" s="3" t="s">
        <v>40</v>
      </c>
    </row>
    <row r="13" spans="1:300">
      <c r="A13" s="1" t="s">
        <v>1</v>
      </c>
      <c r="B13" s="4" t="s">
        <v>17</v>
      </c>
      <c r="C13" s="3">
        <v>0.26</v>
      </c>
    </row>
    <row r="14" spans="1:300">
      <c r="A14" s="1" t="s">
        <v>1</v>
      </c>
      <c r="B14" s="4" t="s">
        <v>18</v>
      </c>
      <c r="C14" s="3">
        <v>0.22</v>
      </c>
    </row>
    <row r="15" spans="1:300">
      <c r="A15" s="1" t="s">
        <v>1</v>
      </c>
      <c r="B15" s="4" t="s">
        <v>19</v>
      </c>
      <c r="C15" s="3">
        <v>0.3</v>
      </c>
    </row>
    <row r="16" spans="1:300">
      <c r="A16" s="339" t="s">
        <v>1</v>
      </c>
      <c r="B16" s="339"/>
      <c r="C16" s="339"/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339"/>
      <c r="BQ16" s="339"/>
      <c r="BR16" s="339"/>
      <c r="BS16" s="339"/>
      <c r="BT16" s="339"/>
      <c r="BU16" s="339"/>
      <c r="BV16" s="339"/>
      <c r="BW16" s="339"/>
      <c r="BX16" s="339"/>
      <c r="BY16" s="339"/>
      <c r="BZ16" s="339"/>
      <c r="CA16" s="339"/>
      <c r="CB16" s="339"/>
      <c r="CC16" s="339"/>
      <c r="CD16" s="339"/>
      <c r="CE16" s="339"/>
      <c r="CF16" s="339"/>
      <c r="CG16" s="339"/>
      <c r="CH16" s="339"/>
      <c r="CI16" s="339"/>
      <c r="CJ16" s="339"/>
      <c r="CK16" s="339"/>
      <c r="CL16" s="339"/>
      <c r="CM16" s="339"/>
      <c r="CN16" s="339"/>
      <c r="CO16" s="339"/>
      <c r="CP16" s="339"/>
      <c r="CQ16" s="339"/>
      <c r="CR16" s="339"/>
      <c r="CS16" s="339"/>
      <c r="CT16" s="339"/>
      <c r="CU16" s="339"/>
      <c r="CV16" s="339"/>
      <c r="CW16" s="339"/>
      <c r="CX16" s="339"/>
      <c r="CY16" s="339"/>
      <c r="CZ16" s="339"/>
      <c r="DA16" s="339"/>
      <c r="DB16" s="339"/>
      <c r="DC16" s="339"/>
      <c r="DD16" s="339"/>
      <c r="DE16" s="339"/>
      <c r="DF16" s="339"/>
      <c r="DG16" s="339"/>
      <c r="DH16" s="339"/>
      <c r="DI16" s="339"/>
      <c r="DJ16" s="339"/>
      <c r="DK16" s="339"/>
      <c r="DL16" s="339"/>
      <c r="DM16" s="339"/>
      <c r="DN16" s="339"/>
      <c r="DO16" s="339"/>
      <c r="DP16" s="339"/>
      <c r="DQ16" s="339"/>
      <c r="DR16" s="339"/>
      <c r="DS16" s="339"/>
      <c r="DT16" s="339"/>
      <c r="DU16" s="339"/>
      <c r="DV16" s="339"/>
      <c r="DW16" s="339"/>
      <c r="DX16" s="339"/>
      <c r="DY16" s="339"/>
      <c r="DZ16" s="339"/>
      <c r="EA16" s="339"/>
      <c r="EB16" s="339"/>
      <c r="EC16" s="339"/>
      <c r="ED16" s="339"/>
      <c r="EE16" s="339"/>
      <c r="EF16" s="339"/>
      <c r="EG16" s="339"/>
      <c r="EH16" s="339"/>
      <c r="EI16" s="339"/>
      <c r="EJ16" s="339"/>
      <c r="EK16" s="339"/>
      <c r="EL16" s="339"/>
      <c r="EM16" s="339"/>
      <c r="EN16" s="339"/>
      <c r="EO16" s="339"/>
      <c r="EP16" s="339"/>
      <c r="EQ16" s="339"/>
      <c r="ER16" s="339"/>
      <c r="ES16" s="339"/>
      <c r="ET16" s="339"/>
      <c r="EU16" s="339"/>
      <c r="EV16" s="339"/>
      <c r="EW16" s="339"/>
      <c r="EX16" s="339"/>
      <c r="EY16" s="339"/>
      <c r="EZ16" s="339"/>
      <c r="FA16" s="339"/>
      <c r="FB16" s="339"/>
      <c r="FC16" s="339"/>
      <c r="FD16" s="339"/>
      <c r="FE16" s="339"/>
      <c r="FF16" s="339"/>
      <c r="FG16" s="339"/>
      <c r="FH16" s="339"/>
      <c r="FI16" s="339"/>
      <c r="FJ16" s="339"/>
      <c r="FK16" s="339"/>
      <c r="FL16" s="339"/>
      <c r="FM16" s="339"/>
      <c r="FN16" s="339"/>
      <c r="FO16" s="339"/>
      <c r="FP16" s="339"/>
      <c r="FQ16" s="339"/>
      <c r="FR16" s="339"/>
      <c r="FS16" s="339"/>
      <c r="FT16" s="339"/>
      <c r="FU16" s="339"/>
      <c r="FV16" s="339"/>
      <c r="FW16" s="339"/>
      <c r="FX16" s="339"/>
      <c r="FY16" s="339"/>
      <c r="FZ16" s="339"/>
      <c r="GA16" s="339"/>
      <c r="GB16" s="339"/>
      <c r="GC16" s="339"/>
      <c r="GD16" s="339"/>
      <c r="GE16" s="339"/>
      <c r="GF16" s="339"/>
      <c r="GG16" s="339"/>
      <c r="GH16" s="339"/>
      <c r="GI16" s="339"/>
      <c r="GJ16" s="339"/>
      <c r="GK16" s="339"/>
      <c r="GL16" s="339"/>
      <c r="GM16" s="339"/>
      <c r="GN16" s="339"/>
      <c r="GO16" s="339"/>
      <c r="GP16" s="339"/>
      <c r="GQ16" s="339"/>
      <c r="GR16" s="339"/>
      <c r="GS16" s="339"/>
      <c r="GT16" s="339"/>
      <c r="GU16" s="339"/>
      <c r="GV16" s="339"/>
      <c r="GW16" s="339"/>
      <c r="GX16" s="339"/>
      <c r="GY16" s="339"/>
      <c r="GZ16" s="339"/>
      <c r="HA16" s="339"/>
      <c r="HB16" s="339"/>
      <c r="HC16" s="339"/>
      <c r="HD16" s="339"/>
      <c r="HE16" s="339"/>
      <c r="HF16" s="339"/>
      <c r="HG16" s="339"/>
      <c r="HH16" s="339"/>
      <c r="HI16" s="339"/>
      <c r="HJ16" s="339"/>
      <c r="HK16" s="339"/>
      <c r="HL16" s="339"/>
      <c r="HM16" s="339"/>
      <c r="HN16" s="339"/>
      <c r="HO16" s="339"/>
      <c r="HP16" s="339"/>
      <c r="HQ16" s="339"/>
      <c r="HR16" s="339"/>
      <c r="HS16" s="339"/>
      <c r="HT16" s="339"/>
      <c r="HU16" s="339"/>
      <c r="HV16" s="339"/>
      <c r="HW16" s="339"/>
      <c r="HX16" s="339"/>
      <c r="HY16" s="339"/>
      <c r="HZ16" s="339"/>
      <c r="IA16" s="339"/>
      <c r="IB16" s="339"/>
      <c r="IC16" s="339"/>
      <c r="ID16" s="339"/>
      <c r="IE16" s="339"/>
      <c r="IF16" s="339"/>
      <c r="IG16" s="339"/>
      <c r="IH16" s="339"/>
      <c r="II16" s="339"/>
      <c r="IJ16" s="339"/>
      <c r="IK16" s="339"/>
      <c r="IL16" s="339"/>
      <c r="IM16" s="339"/>
      <c r="IN16" s="339"/>
      <c r="IO16" s="339"/>
      <c r="IP16" s="339"/>
      <c r="IQ16" s="339"/>
      <c r="IR16" s="339"/>
      <c r="IS16" s="339"/>
      <c r="IT16" s="339"/>
      <c r="IU16" s="339"/>
      <c r="IV16" s="339"/>
      <c r="IW16" s="339"/>
      <c r="IX16" s="339"/>
      <c r="IY16" s="339"/>
      <c r="IZ16" s="339"/>
      <c r="JA16" s="339"/>
      <c r="JB16" s="339"/>
      <c r="JC16" s="339"/>
      <c r="JD16" s="339"/>
      <c r="JE16" s="339"/>
      <c r="JF16" s="339"/>
      <c r="JG16" s="339"/>
      <c r="JH16" s="339"/>
      <c r="JI16" s="339"/>
      <c r="JJ16" s="339"/>
      <c r="JK16" s="339"/>
      <c r="JL16" s="339"/>
      <c r="JM16" s="339"/>
      <c r="JN16" s="339"/>
      <c r="JO16" s="339"/>
      <c r="JP16" s="339"/>
      <c r="JQ16" s="339"/>
      <c r="JR16" s="339"/>
      <c r="JS16" s="339"/>
      <c r="JT16" s="339"/>
      <c r="JU16" s="339"/>
      <c r="JV16" s="339"/>
      <c r="JW16" s="339"/>
      <c r="JX16" s="339"/>
      <c r="JY16" s="339"/>
      <c r="JZ16" s="339"/>
      <c r="KA16" s="339"/>
      <c r="KB16" s="339"/>
      <c r="KC16" s="339"/>
      <c r="KD16" s="339"/>
      <c r="KE16" s="339"/>
      <c r="KF16" s="339"/>
      <c r="KG16" s="339"/>
      <c r="KH16" s="339"/>
      <c r="KI16" s="339"/>
      <c r="KJ16" s="339"/>
      <c r="KK16" s="339"/>
      <c r="KL16" s="339"/>
      <c r="KM16" s="339"/>
      <c r="KN16" s="339"/>
    </row>
    <row r="17" spans="1:300">
      <c r="A17" s="1" t="s">
        <v>1</v>
      </c>
      <c r="B17" s="401" t="s">
        <v>20</v>
      </c>
      <c r="C17" s="401"/>
    </row>
    <row r="18" spans="1:300">
      <c r="A18" s="1" t="s">
        <v>1</v>
      </c>
      <c r="B18" s="4" t="s">
        <v>206</v>
      </c>
      <c r="C18" s="3" t="s">
        <v>22</v>
      </c>
    </row>
    <row r="19" spans="1:300">
      <c r="A19" s="1" t="s">
        <v>1</v>
      </c>
      <c r="B19" s="4" t="s">
        <v>207</v>
      </c>
      <c r="C19" s="3">
        <v>4.7619999999999996</v>
      </c>
    </row>
    <row r="20" spans="1:300">
      <c r="A20" s="1" t="s">
        <v>1</v>
      </c>
      <c r="B20" s="4" t="s">
        <v>23</v>
      </c>
      <c r="C20" s="3">
        <v>1.9610000000000001</v>
      </c>
    </row>
    <row r="21" spans="1:300">
      <c r="A21" s="1" t="s">
        <v>1</v>
      </c>
      <c r="B21" s="4" t="s">
        <v>24</v>
      </c>
      <c r="C21" s="3">
        <v>6.7610000000000001</v>
      </c>
    </row>
    <row r="22" spans="1:300">
      <c r="A22" s="339" t="s">
        <v>1</v>
      </c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39"/>
      <c r="BP22" s="339"/>
      <c r="BQ22" s="339"/>
      <c r="BR22" s="339"/>
      <c r="BS22" s="339"/>
      <c r="BT22" s="339"/>
      <c r="BU22" s="339"/>
      <c r="BV22" s="339"/>
      <c r="BW22" s="339"/>
      <c r="BX22" s="339"/>
      <c r="BY22" s="339"/>
      <c r="BZ22" s="339"/>
      <c r="CA22" s="339"/>
      <c r="CB22" s="339"/>
      <c r="CC22" s="339"/>
      <c r="CD22" s="339"/>
      <c r="CE22" s="339"/>
      <c r="CF22" s="339"/>
      <c r="CG22" s="339"/>
      <c r="CH22" s="339"/>
      <c r="CI22" s="339"/>
      <c r="CJ22" s="339"/>
      <c r="CK22" s="339"/>
      <c r="CL22" s="339"/>
      <c r="CM22" s="339"/>
      <c r="CN22" s="339"/>
      <c r="CO22" s="339"/>
      <c r="CP22" s="339"/>
      <c r="CQ22" s="339"/>
      <c r="CR22" s="339"/>
      <c r="CS22" s="339"/>
      <c r="CT22" s="339"/>
      <c r="CU22" s="339"/>
      <c r="CV22" s="339"/>
      <c r="CW22" s="339"/>
      <c r="CX22" s="339"/>
      <c r="CY22" s="339"/>
      <c r="CZ22" s="339"/>
      <c r="DA22" s="339"/>
      <c r="DB22" s="339"/>
      <c r="DC22" s="339"/>
      <c r="DD22" s="339"/>
      <c r="DE22" s="339"/>
      <c r="DF22" s="339"/>
      <c r="DG22" s="339"/>
      <c r="DH22" s="339"/>
      <c r="DI22" s="339"/>
      <c r="DJ22" s="339"/>
      <c r="DK22" s="339"/>
      <c r="DL22" s="339"/>
      <c r="DM22" s="339"/>
      <c r="DN22" s="339"/>
      <c r="DO22" s="339"/>
      <c r="DP22" s="339"/>
      <c r="DQ22" s="339"/>
      <c r="DR22" s="339"/>
      <c r="DS22" s="339"/>
      <c r="DT22" s="339"/>
      <c r="DU22" s="339"/>
      <c r="DV22" s="339"/>
      <c r="DW22" s="339"/>
      <c r="DX22" s="339"/>
      <c r="DY22" s="339"/>
      <c r="DZ22" s="339"/>
      <c r="EA22" s="339"/>
      <c r="EB22" s="339"/>
      <c r="EC22" s="339"/>
      <c r="ED22" s="339"/>
      <c r="EE22" s="339"/>
      <c r="EF22" s="339"/>
      <c r="EG22" s="339"/>
      <c r="EH22" s="339"/>
      <c r="EI22" s="339"/>
      <c r="EJ22" s="339"/>
      <c r="EK22" s="339"/>
      <c r="EL22" s="339"/>
      <c r="EM22" s="339"/>
      <c r="EN22" s="339"/>
      <c r="EO22" s="339"/>
      <c r="EP22" s="339"/>
      <c r="EQ22" s="339"/>
      <c r="ER22" s="339"/>
      <c r="ES22" s="339"/>
      <c r="ET22" s="339"/>
      <c r="EU22" s="339"/>
      <c r="EV22" s="339"/>
      <c r="EW22" s="339"/>
      <c r="EX22" s="339"/>
      <c r="EY22" s="339"/>
      <c r="EZ22" s="339"/>
      <c r="FA22" s="339"/>
      <c r="FB22" s="339"/>
      <c r="FC22" s="339"/>
      <c r="FD22" s="339"/>
      <c r="FE22" s="339"/>
      <c r="FF22" s="339"/>
      <c r="FG22" s="339"/>
      <c r="FH22" s="339"/>
      <c r="FI22" s="339"/>
      <c r="FJ22" s="339"/>
      <c r="FK22" s="339"/>
      <c r="FL22" s="339"/>
      <c r="FM22" s="339"/>
      <c r="FN22" s="339"/>
      <c r="FO22" s="339"/>
      <c r="FP22" s="339"/>
      <c r="FQ22" s="339"/>
      <c r="FR22" s="339"/>
      <c r="FS22" s="339"/>
      <c r="FT22" s="339"/>
      <c r="FU22" s="339"/>
      <c r="FV22" s="339"/>
      <c r="FW22" s="339"/>
      <c r="FX22" s="339"/>
      <c r="FY22" s="339"/>
      <c r="FZ22" s="339"/>
      <c r="GA22" s="339"/>
      <c r="GB22" s="339"/>
      <c r="GC22" s="339"/>
      <c r="GD22" s="339"/>
      <c r="GE22" s="339"/>
      <c r="GF22" s="339"/>
      <c r="GG22" s="339"/>
      <c r="GH22" s="339"/>
      <c r="GI22" s="339"/>
      <c r="GJ22" s="339"/>
      <c r="GK22" s="339"/>
      <c r="GL22" s="339"/>
      <c r="GM22" s="339"/>
      <c r="GN22" s="339"/>
      <c r="GO22" s="339"/>
      <c r="GP22" s="339"/>
      <c r="GQ22" s="339"/>
      <c r="GR22" s="339"/>
      <c r="GS22" s="339"/>
      <c r="GT22" s="339"/>
      <c r="GU22" s="339"/>
      <c r="GV22" s="339"/>
      <c r="GW22" s="339"/>
      <c r="GX22" s="339"/>
      <c r="GY22" s="339"/>
      <c r="GZ22" s="339"/>
      <c r="HA22" s="339"/>
      <c r="HB22" s="339"/>
      <c r="HC22" s="339"/>
      <c r="HD22" s="339"/>
      <c r="HE22" s="339"/>
      <c r="HF22" s="339"/>
      <c r="HG22" s="339"/>
      <c r="HH22" s="339"/>
      <c r="HI22" s="339"/>
      <c r="HJ22" s="339"/>
      <c r="HK22" s="339"/>
      <c r="HL22" s="339"/>
      <c r="HM22" s="339"/>
      <c r="HN22" s="339"/>
      <c r="HO22" s="339"/>
      <c r="HP22" s="339"/>
      <c r="HQ22" s="339"/>
      <c r="HR22" s="339"/>
      <c r="HS22" s="339"/>
      <c r="HT22" s="339"/>
      <c r="HU22" s="339"/>
      <c r="HV22" s="339"/>
      <c r="HW22" s="339"/>
      <c r="HX22" s="339"/>
      <c r="HY22" s="339"/>
      <c r="HZ22" s="339"/>
      <c r="IA22" s="339"/>
      <c r="IB22" s="339"/>
      <c r="IC22" s="339"/>
      <c r="ID22" s="339"/>
      <c r="IE22" s="339"/>
      <c r="IF22" s="339"/>
      <c r="IG22" s="339"/>
      <c r="IH22" s="339"/>
      <c r="II22" s="339"/>
      <c r="IJ22" s="339"/>
      <c r="IK22" s="339"/>
      <c r="IL22" s="339"/>
      <c r="IM22" s="339"/>
      <c r="IN22" s="339"/>
      <c r="IO22" s="339"/>
      <c r="IP22" s="339"/>
      <c r="IQ22" s="339"/>
      <c r="IR22" s="339"/>
      <c r="IS22" s="339"/>
      <c r="IT22" s="339"/>
      <c r="IU22" s="339"/>
      <c r="IV22" s="339"/>
      <c r="IW22" s="339"/>
      <c r="IX22" s="339"/>
      <c r="IY22" s="339"/>
      <c r="IZ22" s="339"/>
      <c r="JA22" s="339"/>
      <c r="JB22" s="339"/>
      <c r="JC22" s="339"/>
      <c r="JD22" s="339"/>
      <c r="JE22" s="339"/>
      <c r="JF22" s="339"/>
      <c r="JG22" s="339"/>
      <c r="JH22" s="339"/>
      <c r="JI22" s="339"/>
      <c r="JJ22" s="339"/>
      <c r="JK22" s="339"/>
      <c r="JL22" s="339"/>
      <c r="JM22" s="339"/>
      <c r="JN22" s="339"/>
      <c r="JO22" s="339"/>
      <c r="JP22" s="339"/>
      <c r="JQ22" s="339"/>
      <c r="JR22" s="339"/>
      <c r="JS22" s="339"/>
      <c r="JT22" s="339"/>
      <c r="JU22" s="339"/>
      <c r="JV22" s="339"/>
      <c r="JW22" s="339"/>
      <c r="JX22" s="339"/>
      <c r="JY22" s="339"/>
      <c r="JZ22" s="339"/>
      <c r="KA22" s="339"/>
      <c r="KB22" s="339"/>
      <c r="KC22" s="339"/>
      <c r="KD22" s="339"/>
      <c r="KE22" s="339"/>
      <c r="KF22" s="339"/>
      <c r="KG22" s="339"/>
      <c r="KH22" s="339"/>
      <c r="KI22" s="339"/>
      <c r="KJ22" s="339"/>
      <c r="KK22" s="339"/>
      <c r="KL22" s="339"/>
      <c r="KM22" s="339"/>
      <c r="KN22" s="339"/>
    </row>
    <row r="23" spans="1:300">
      <c r="A23" s="401" t="s">
        <v>208</v>
      </c>
      <c r="B23" s="401"/>
      <c r="C23" s="401"/>
      <c r="D23" s="401"/>
      <c r="E23" s="401"/>
      <c r="F23" s="401"/>
      <c r="G23" s="401"/>
      <c r="H23" s="401"/>
      <c r="I23" s="401"/>
      <c r="J23" s="401"/>
      <c r="K23" s="401"/>
    </row>
    <row r="24" spans="1:300">
      <c r="A24" s="401" t="s">
        <v>209</v>
      </c>
      <c r="B24" s="401"/>
      <c r="C24" s="401"/>
      <c r="D24" s="401"/>
      <c r="E24" s="401"/>
      <c r="F24" s="401"/>
      <c r="G24" s="401"/>
      <c r="H24" s="401"/>
      <c r="I24" s="401"/>
      <c r="J24" s="401"/>
      <c r="K24" s="401"/>
    </row>
    <row r="25" spans="1:300">
      <c r="A25" s="9" t="s">
        <v>1</v>
      </c>
      <c r="B25" s="9" t="s">
        <v>48</v>
      </c>
      <c r="C25" s="9" t="s">
        <v>49</v>
      </c>
      <c r="D25" s="9" t="s">
        <v>50</v>
      </c>
      <c r="E25" s="9" t="s">
        <v>51</v>
      </c>
      <c r="F25" s="9" t="s">
        <v>52</v>
      </c>
      <c r="G25" s="9" t="s">
        <v>53</v>
      </c>
      <c r="H25" s="9" t="s">
        <v>54</v>
      </c>
      <c r="I25" s="9" t="s">
        <v>55</v>
      </c>
      <c r="J25" s="9" t="s">
        <v>56</v>
      </c>
      <c r="K25" s="9" t="s">
        <v>57</v>
      </c>
    </row>
    <row r="26" spans="1:300">
      <c r="A26" s="4" t="s">
        <v>58</v>
      </c>
      <c r="B26" s="4" t="s">
        <v>69</v>
      </c>
      <c r="C26" s="4" t="s">
        <v>70</v>
      </c>
      <c r="D26" s="4" t="s">
        <v>71</v>
      </c>
      <c r="E26" s="3">
        <v>0.3</v>
      </c>
      <c r="F26" s="3">
        <v>15.384615384615399</v>
      </c>
      <c r="G26" s="3">
        <v>0.4</v>
      </c>
      <c r="H26" s="5">
        <v>128</v>
      </c>
      <c r="I26" s="4" t="s">
        <v>210</v>
      </c>
      <c r="J26" s="4" t="s">
        <v>81</v>
      </c>
      <c r="K26" s="3" t="s">
        <v>211</v>
      </c>
    </row>
    <row r="27" spans="1:300">
      <c r="A27" s="4" t="s">
        <v>58</v>
      </c>
      <c r="B27" s="4" t="s">
        <v>99</v>
      </c>
      <c r="C27" s="4" t="s">
        <v>100</v>
      </c>
      <c r="D27" s="4" t="s">
        <v>84</v>
      </c>
      <c r="E27" s="3">
        <v>0.22</v>
      </c>
      <c r="F27" s="3">
        <v>-15.384615384615399</v>
      </c>
      <c r="G27" s="3">
        <v>0.23</v>
      </c>
      <c r="H27" s="5">
        <v>10</v>
      </c>
      <c r="I27" s="4" t="s">
        <v>101</v>
      </c>
      <c r="J27" s="4" t="s">
        <v>66</v>
      </c>
      <c r="K27" s="3">
        <v>100</v>
      </c>
    </row>
    <row r="28" spans="1:300">
      <c r="A28" s="13" t="s">
        <v>1</v>
      </c>
      <c r="B28" s="13" t="s">
        <v>14</v>
      </c>
      <c r="C28" s="13" t="s">
        <v>1</v>
      </c>
      <c r="D28" s="13" t="s">
        <v>1</v>
      </c>
      <c r="E28" s="12">
        <v>0.22</v>
      </c>
      <c r="F28" s="12" t="s">
        <v>40</v>
      </c>
      <c r="G28" s="12" t="s">
        <v>40</v>
      </c>
      <c r="H28" s="12" t="s">
        <v>1</v>
      </c>
      <c r="I28" s="13" t="s">
        <v>1</v>
      </c>
      <c r="J28" s="13" t="s">
        <v>1</v>
      </c>
      <c r="K28" s="12" t="s">
        <v>1</v>
      </c>
    </row>
    <row r="29" spans="1:300">
      <c r="A29" s="11" t="s">
        <v>1</v>
      </c>
      <c r="B29" s="11" t="s">
        <v>15</v>
      </c>
      <c r="C29" s="11" t="s">
        <v>1</v>
      </c>
      <c r="D29" s="11" t="s">
        <v>1</v>
      </c>
      <c r="E29" s="10">
        <v>0.26</v>
      </c>
      <c r="F29" s="10" t="s">
        <v>1</v>
      </c>
      <c r="G29" s="10" t="s">
        <v>40</v>
      </c>
      <c r="H29" s="10" t="s">
        <v>1</v>
      </c>
      <c r="I29" s="11" t="s">
        <v>1</v>
      </c>
      <c r="J29" s="11" t="s">
        <v>1</v>
      </c>
      <c r="K29" s="10" t="s">
        <v>1</v>
      </c>
    </row>
    <row r="30" spans="1:300">
      <c r="A30" s="339" t="s">
        <v>1</v>
      </c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339"/>
      <c r="AI30" s="339"/>
      <c r="AJ30" s="339"/>
      <c r="AK30" s="339"/>
      <c r="AL30" s="339"/>
      <c r="AM30" s="339"/>
      <c r="AN30" s="339"/>
      <c r="AO30" s="339"/>
      <c r="AP30" s="339"/>
      <c r="AQ30" s="339"/>
      <c r="AR30" s="339"/>
      <c r="AS30" s="339"/>
      <c r="AT30" s="339"/>
      <c r="AU30" s="339"/>
      <c r="AV30" s="339"/>
      <c r="AW30" s="339"/>
      <c r="AX30" s="339"/>
      <c r="AY30" s="339"/>
      <c r="AZ30" s="339"/>
      <c r="BA30" s="339"/>
      <c r="BB30" s="339"/>
      <c r="BC30" s="339"/>
      <c r="BD30" s="339"/>
      <c r="BE30" s="339"/>
      <c r="BF30" s="339"/>
      <c r="BG30" s="339"/>
      <c r="BH30" s="339"/>
      <c r="BI30" s="339"/>
      <c r="BJ30" s="339"/>
      <c r="BK30" s="339"/>
      <c r="BL30" s="339"/>
      <c r="BM30" s="339"/>
      <c r="BN30" s="339"/>
      <c r="BO30" s="339"/>
      <c r="BP30" s="339"/>
      <c r="BQ30" s="339"/>
      <c r="BR30" s="339"/>
      <c r="BS30" s="339"/>
      <c r="BT30" s="339"/>
      <c r="BU30" s="339"/>
      <c r="BV30" s="339"/>
      <c r="BW30" s="339"/>
      <c r="BX30" s="339"/>
      <c r="BY30" s="339"/>
      <c r="BZ30" s="339"/>
      <c r="CA30" s="339"/>
      <c r="CB30" s="339"/>
      <c r="CC30" s="339"/>
      <c r="CD30" s="339"/>
      <c r="CE30" s="339"/>
      <c r="CF30" s="339"/>
      <c r="CG30" s="339"/>
      <c r="CH30" s="339"/>
      <c r="CI30" s="339"/>
      <c r="CJ30" s="339"/>
      <c r="CK30" s="339"/>
      <c r="CL30" s="339"/>
      <c r="CM30" s="339"/>
      <c r="CN30" s="339"/>
      <c r="CO30" s="339"/>
      <c r="CP30" s="339"/>
      <c r="CQ30" s="339"/>
      <c r="CR30" s="339"/>
      <c r="CS30" s="339"/>
      <c r="CT30" s="339"/>
      <c r="CU30" s="339"/>
      <c r="CV30" s="339"/>
      <c r="CW30" s="339"/>
      <c r="CX30" s="339"/>
      <c r="CY30" s="339"/>
      <c r="CZ30" s="339"/>
      <c r="DA30" s="339"/>
      <c r="DB30" s="339"/>
      <c r="DC30" s="339"/>
      <c r="DD30" s="339"/>
      <c r="DE30" s="339"/>
      <c r="DF30" s="339"/>
      <c r="DG30" s="339"/>
      <c r="DH30" s="339"/>
      <c r="DI30" s="339"/>
      <c r="DJ30" s="339"/>
      <c r="DK30" s="339"/>
      <c r="DL30" s="339"/>
      <c r="DM30" s="339"/>
      <c r="DN30" s="339"/>
      <c r="DO30" s="339"/>
      <c r="DP30" s="339"/>
      <c r="DQ30" s="339"/>
      <c r="DR30" s="339"/>
      <c r="DS30" s="339"/>
      <c r="DT30" s="339"/>
      <c r="DU30" s="339"/>
      <c r="DV30" s="339"/>
      <c r="DW30" s="339"/>
      <c r="DX30" s="339"/>
      <c r="DY30" s="339"/>
      <c r="DZ30" s="339"/>
      <c r="EA30" s="339"/>
      <c r="EB30" s="339"/>
      <c r="EC30" s="339"/>
      <c r="ED30" s="339"/>
      <c r="EE30" s="339"/>
      <c r="EF30" s="339"/>
      <c r="EG30" s="339"/>
      <c r="EH30" s="339"/>
      <c r="EI30" s="339"/>
      <c r="EJ30" s="339"/>
      <c r="EK30" s="339"/>
      <c r="EL30" s="339"/>
      <c r="EM30" s="339"/>
      <c r="EN30" s="339"/>
      <c r="EO30" s="339"/>
      <c r="EP30" s="339"/>
      <c r="EQ30" s="339"/>
      <c r="ER30" s="339"/>
      <c r="ES30" s="339"/>
      <c r="ET30" s="339"/>
      <c r="EU30" s="339"/>
      <c r="EV30" s="339"/>
      <c r="EW30" s="339"/>
      <c r="EX30" s="339"/>
      <c r="EY30" s="339"/>
      <c r="EZ30" s="339"/>
      <c r="FA30" s="339"/>
      <c r="FB30" s="339"/>
      <c r="FC30" s="339"/>
      <c r="FD30" s="339"/>
      <c r="FE30" s="339"/>
      <c r="FF30" s="339"/>
      <c r="FG30" s="339"/>
      <c r="FH30" s="339"/>
      <c r="FI30" s="339"/>
      <c r="FJ30" s="339"/>
      <c r="FK30" s="339"/>
      <c r="FL30" s="339"/>
      <c r="FM30" s="339"/>
      <c r="FN30" s="339"/>
      <c r="FO30" s="339"/>
      <c r="FP30" s="339"/>
      <c r="FQ30" s="339"/>
      <c r="FR30" s="339"/>
      <c r="FS30" s="339"/>
      <c r="FT30" s="339"/>
      <c r="FU30" s="339"/>
      <c r="FV30" s="339"/>
      <c r="FW30" s="339"/>
      <c r="FX30" s="339"/>
      <c r="FY30" s="339"/>
      <c r="FZ30" s="339"/>
      <c r="GA30" s="339"/>
      <c r="GB30" s="339"/>
      <c r="GC30" s="339"/>
      <c r="GD30" s="339"/>
      <c r="GE30" s="339"/>
      <c r="GF30" s="339"/>
      <c r="GG30" s="339"/>
      <c r="GH30" s="339"/>
      <c r="GI30" s="339"/>
      <c r="GJ30" s="339"/>
      <c r="GK30" s="339"/>
      <c r="GL30" s="339"/>
      <c r="GM30" s="339"/>
      <c r="GN30" s="339"/>
      <c r="GO30" s="339"/>
      <c r="GP30" s="339"/>
      <c r="GQ30" s="339"/>
      <c r="GR30" s="339"/>
      <c r="GS30" s="339"/>
      <c r="GT30" s="339"/>
      <c r="GU30" s="339"/>
      <c r="GV30" s="339"/>
      <c r="GW30" s="339"/>
      <c r="GX30" s="339"/>
      <c r="GY30" s="339"/>
      <c r="GZ30" s="339"/>
      <c r="HA30" s="339"/>
      <c r="HB30" s="339"/>
      <c r="HC30" s="339"/>
      <c r="HD30" s="339"/>
      <c r="HE30" s="339"/>
      <c r="HF30" s="339"/>
      <c r="HG30" s="339"/>
      <c r="HH30" s="339"/>
      <c r="HI30" s="339"/>
      <c r="HJ30" s="339"/>
      <c r="HK30" s="339"/>
      <c r="HL30" s="339"/>
      <c r="HM30" s="339"/>
      <c r="HN30" s="339"/>
      <c r="HO30" s="339"/>
      <c r="HP30" s="339"/>
      <c r="HQ30" s="339"/>
      <c r="HR30" s="339"/>
      <c r="HS30" s="339"/>
      <c r="HT30" s="339"/>
      <c r="HU30" s="339"/>
      <c r="HV30" s="339"/>
      <c r="HW30" s="339"/>
      <c r="HX30" s="339"/>
      <c r="HY30" s="339"/>
      <c r="HZ30" s="339"/>
      <c r="IA30" s="339"/>
      <c r="IB30" s="339"/>
      <c r="IC30" s="339"/>
      <c r="ID30" s="339"/>
      <c r="IE30" s="339"/>
      <c r="IF30" s="339"/>
      <c r="IG30" s="339"/>
      <c r="IH30" s="339"/>
      <c r="II30" s="339"/>
      <c r="IJ30" s="339"/>
      <c r="IK30" s="339"/>
      <c r="IL30" s="339"/>
      <c r="IM30" s="339"/>
      <c r="IN30" s="339"/>
      <c r="IO30" s="339"/>
      <c r="IP30" s="339"/>
      <c r="IQ30" s="339"/>
      <c r="IR30" s="339"/>
      <c r="IS30" s="339"/>
      <c r="IT30" s="339"/>
      <c r="IU30" s="339"/>
      <c r="IV30" s="339"/>
      <c r="IW30" s="339"/>
      <c r="IX30" s="339"/>
      <c r="IY30" s="339"/>
      <c r="IZ30" s="339"/>
      <c r="JA30" s="339"/>
      <c r="JB30" s="339"/>
      <c r="JC30" s="339"/>
      <c r="JD30" s="339"/>
      <c r="JE30" s="339"/>
      <c r="JF30" s="339"/>
      <c r="JG30" s="339"/>
      <c r="JH30" s="339"/>
      <c r="JI30" s="339"/>
      <c r="JJ30" s="339"/>
      <c r="JK30" s="339"/>
      <c r="JL30" s="339"/>
      <c r="JM30" s="339"/>
      <c r="JN30" s="339"/>
      <c r="JO30" s="339"/>
      <c r="JP30" s="339"/>
      <c r="JQ30" s="339"/>
      <c r="JR30" s="339"/>
      <c r="JS30" s="339"/>
      <c r="JT30" s="339"/>
      <c r="JU30" s="339"/>
      <c r="JV30" s="339"/>
      <c r="JW30" s="339"/>
      <c r="JX30" s="339"/>
      <c r="JY30" s="339"/>
      <c r="JZ30" s="339"/>
      <c r="KA30" s="339"/>
      <c r="KB30" s="339"/>
      <c r="KC30" s="339"/>
      <c r="KD30" s="339"/>
      <c r="KE30" s="339"/>
      <c r="KF30" s="339"/>
      <c r="KG30" s="339"/>
      <c r="KH30" s="339"/>
      <c r="KI30" s="339"/>
      <c r="KJ30" s="339"/>
      <c r="KK30" s="339"/>
      <c r="KL30" s="339"/>
      <c r="KM30" s="339"/>
      <c r="KN30" s="339"/>
    </row>
  </sheetData>
  <mergeCells count="9">
    <mergeCell ref="A23:K23"/>
    <mergeCell ref="A24:K24"/>
    <mergeCell ref="A30:KN30"/>
    <mergeCell ref="A3:KN3"/>
    <mergeCell ref="A7:KN7"/>
    <mergeCell ref="B8:C8"/>
    <mergeCell ref="A16:KN16"/>
    <mergeCell ref="B17:C17"/>
    <mergeCell ref="A22:KN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61A3-CA3F-418B-A132-EC95E3B7EDD4}">
  <dimension ref="A1"/>
  <sheetViews>
    <sheetView workbookViewId="0">
      <selection activeCell="R20" sqref="R20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DFC-FC35-4694-82D3-C3A02E760A8F}">
  <sheetPr>
    <pageSetUpPr autoPageBreaks="0" fitToPage="1"/>
  </sheetPr>
  <dimension ref="B2:R42"/>
  <sheetViews>
    <sheetView zoomScale="80" zoomScaleNormal="80" workbookViewId="0">
      <selection activeCell="H7" sqref="H7"/>
    </sheetView>
  </sheetViews>
  <sheetFormatPr defaultColWidth="9.140625" defaultRowHeight="15" outlineLevelRow="1"/>
  <cols>
    <col min="1" max="1" width="2.42578125" style="41" customWidth="1"/>
    <col min="2" max="2" width="29" style="41" bestFit="1" customWidth="1"/>
    <col min="3" max="3" width="6.28515625" style="41" customWidth="1"/>
    <col min="4" max="4" width="9.7109375" style="41" bestFit="1" customWidth="1"/>
    <col min="5" max="5" width="20.85546875" style="41" customWidth="1"/>
    <col min="6" max="6" width="10" style="41" customWidth="1"/>
    <col min="7" max="7" width="9.140625" style="41"/>
    <col min="8" max="8" width="11.42578125" style="41" bestFit="1" customWidth="1"/>
    <col min="9" max="9" width="18.28515625" style="41" customWidth="1"/>
    <col min="10" max="10" width="10.140625" style="41" customWidth="1"/>
    <col min="11" max="11" width="9.140625" style="41"/>
    <col min="12" max="12" width="10.42578125" style="41" bestFit="1" customWidth="1"/>
    <col min="13" max="13" width="2.42578125" style="41" customWidth="1"/>
    <col min="14" max="14" width="2.42578125" style="42" customWidth="1"/>
    <col min="15" max="15" width="9.140625" style="41"/>
    <col min="16" max="16" width="20.140625" style="41" bestFit="1" customWidth="1"/>
    <col min="17" max="16384" width="9.140625" style="41"/>
  </cols>
  <sheetData>
    <row r="2" spans="2:18" ht="18.75">
      <c r="B2" s="39" t="str">
        <f>"WACC Analysis - "&amp;Company_Name</f>
        <v>WACC Analysis - Ford Motor Company</v>
      </c>
      <c r="C2" s="40"/>
    </row>
    <row r="3" spans="2:18" ht="15.75">
      <c r="B3" s="43" t="s">
        <v>213</v>
      </c>
    </row>
    <row r="4" spans="2:18">
      <c r="O4" s="44"/>
    </row>
    <row r="5" spans="2:18">
      <c r="B5" s="45" t="s">
        <v>214</v>
      </c>
      <c r="C5" s="46"/>
      <c r="D5" s="47"/>
      <c r="E5" s="47"/>
      <c r="F5" s="47"/>
      <c r="G5" s="48"/>
    </row>
    <row r="6" spans="2:18">
      <c r="B6" s="49" t="s">
        <v>215</v>
      </c>
      <c r="C6" s="49"/>
      <c r="F6" s="50">
        <v>4.4600000000000001E-2</v>
      </c>
      <c r="G6" s="51"/>
      <c r="H6" s="52"/>
    </row>
    <row r="7" spans="2:18">
      <c r="B7" s="49" t="s">
        <v>216</v>
      </c>
      <c r="C7" s="49"/>
      <c r="F7" s="50">
        <v>7.7799999999999994E-2</v>
      </c>
      <c r="G7" s="52"/>
      <c r="H7" s="41" t="s">
        <v>217</v>
      </c>
    </row>
    <row r="8" spans="2:18">
      <c r="B8" s="49" t="s">
        <v>218</v>
      </c>
      <c r="C8" s="49"/>
      <c r="F8" s="50">
        <v>4.5699999999999998E-2</v>
      </c>
      <c r="I8" s="53"/>
      <c r="J8" s="53"/>
    </row>
    <row r="9" spans="2:18">
      <c r="B9" s="49" t="s">
        <v>219</v>
      </c>
      <c r="C9" s="49"/>
      <c r="F9" s="50">
        <v>0</v>
      </c>
      <c r="G9" s="52"/>
      <c r="H9" s="52" t="s">
        <v>220</v>
      </c>
      <c r="I9" s="53"/>
      <c r="J9" s="53"/>
    </row>
    <row r="11" spans="2:18" hidden="1" outlineLevel="1">
      <c r="B11" s="54"/>
      <c r="C11" s="55"/>
      <c r="D11" s="55"/>
      <c r="E11" s="56">
        <v>6</v>
      </c>
      <c r="F11" s="55"/>
      <c r="G11" s="56">
        <v>7</v>
      </c>
      <c r="H11" s="55"/>
      <c r="I11" s="57">
        <v>4</v>
      </c>
      <c r="J11" s="54"/>
      <c r="K11" s="55"/>
    </row>
    <row r="12" spans="2:18" collapsed="1">
      <c r="B12" s="58" t="s">
        <v>221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2:18">
      <c r="B13" s="59"/>
      <c r="C13" s="59"/>
      <c r="D13" s="60" t="s">
        <v>222</v>
      </c>
      <c r="E13" s="60"/>
      <c r="F13" s="60"/>
      <c r="G13" s="60" t="s">
        <v>223</v>
      </c>
      <c r="H13" s="60"/>
      <c r="I13" s="60" t="s">
        <v>224</v>
      </c>
      <c r="J13" s="60"/>
      <c r="K13" s="60"/>
      <c r="L13" s="60" t="s">
        <v>225</v>
      </c>
    </row>
    <row r="14" spans="2:18">
      <c r="B14" s="61" t="s">
        <v>27</v>
      </c>
      <c r="C14" s="61" t="s">
        <v>226</v>
      </c>
      <c r="D14" s="62" t="s">
        <v>227</v>
      </c>
      <c r="E14" s="62" t="s">
        <v>228</v>
      </c>
      <c r="F14" s="62" t="s">
        <v>229</v>
      </c>
      <c r="G14" s="62" t="s">
        <v>230</v>
      </c>
      <c r="H14" s="62" t="s">
        <v>231</v>
      </c>
      <c r="I14" s="62" t="s">
        <v>232</v>
      </c>
      <c r="J14" s="62" t="s">
        <v>233</v>
      </c>
      <c r="K14" s="62" t="s">
        <v>234</v>
      </c>
      <c r="L14" s="62" t="s">
        <v>227</v>
      </c>
    </row>
    <row r="15" spans="2:18" ht="14.45" customHeight="1">
      <c r="B15" s="63" t="s">
        <v>235</v>
      </c>
      <c r="C15" s="64" t="s">
        <v>236</v>
      </c>
      <c r="D15" s="65">
        <v>1.4603742968872899</v>
      </c>
      <c r="E15" s="66">
        <v>114699000000</v>
      </c>
      <c r="F15" s="67">
        <v>0.72379117567027096</v>
      </c>
      <c r="G15" s="66">
        <v>0</v>
      </c>
      <c r="H15" s="68">
        <f>0</f>
        <v>0</v>
      </c>
      <c r="I15" s="69">
        <f>E15/F15*J15</f>
        <v>43770740797.519852</v>
      </c>
      <c r="J15" s="67">
        <v>0.27620882432972899</v>
      </c>
      <c r="K15" s="70">
        <v>0.16280069999999999</v>
      </c>
      <c r="L15" s="71">
        <f>D15/(1+(F15/J15)*(1-K15)+H15/J15)</f>
        <v>0.4572474285418468</v>
      </c>
    </row>
    <row r="16" spans="2:18" ht="14.45" customHeight="1">
      <c r="B16" s="63" t="s">
        <v>237</v>
      </c>
      <c r="C16" s="64" t="s">
        <v>238</v>
      </c>
      <c r="D16" s="65">
        <v>1.4302276981406301</v>
      </c>
      <c r="E16" s="66">
        <v>29059289383.5616</v>
      </c>
      <c r="F16" s="67">
        <v>0.36686645088741104</v>
      </c>
      <c r="G16" s="66">
        <v>0</v>
      </c>
      <c r="H16" s="68">
        <f>0</f>
        <v>0</v>
      </c>
      <c r="I16" s="69">
        <f t="shared" ref="I16:I20" si="0">E16/F16*J16</f>
        <v>50150159486.102722</v>
      </c>
      <c r="J16" s="67">
        <v>0.63313354911258901</v>
      </c>
      <c r="K16" s="70">
        <v>0.21478020645080001</v>
      </c>
      <c r="L16" s="71">
        <f t="shared" ref="L16:L20" si="1">D16/(1+(F16/J16)*(1-K16)+H16/J16)</f>
        <v>0.98297966199279141</v>
      </c>
      <c r="R16" s="72"/>
    </row>
    <row r="17" spans="2:16" ht="14.45" customHeight="1">
      <c r="B17" s="63" t="s">
        <v>239</v>
      </c>
      <c r="C17" s="64" t="s">
        <v>240</v>
      </c>
      <c r="D17" s="65">
        <v>1.4134610370819201</v>
      </c>
      <c r="E17" s="66">
        <v>217928082191.78101</v>
      </c>
      <c r="F17" s="67">
        <v>0.79309266171305492</v>
      </c>
      <c r="G17" s="66">
        <v>0</v>
      </c>
      <c r="H17" s="68">
        <f>0</f>
        <v>0</v>
      </c>
      <c r="I17" s="69">
        <f t="shared" si="0"/>
        <v>56854541217.018753</v>
      </c>
      <c r="J17" s="67">
        <v>0.20690733828694502</v>
      </c>
      <c r="K17" s="70">
        <v>0.23567229999999997</v>
      </c>
      <c r="L17" s="71">
        <f t="shared" si="1"/>
        <v>0.35968398427667547</v>
      </c>
    </row>
    <row r="18" spans="2:16" ht="14.45" customHeight="1">
      <c r="B18" s="63" t="s">
        <v>241</v>
      </c>
      <c r="C18" s="64" t="s">
        <v>242</v>
      </c>
      <c r="D18" s="65">
        <v>1.8799692657557701</v>
      </c>
      <c r="E18" s="66">
        <v>67917380136.986298</v>
      </c>
      <c r="F18" s="67">
        <v>0.84801008569443692</v>
      </c>
      <c r="G18" s="66">
        <v>0</v>
      </c>
      <c r="H18" s="68">
        <f>0</f>
        <v>0</v>
      </c>
      <c r="I18" s="69">
        <f t="shared" si="0"/>
        <v>12172917469.991611</v>
      </c>
      <c r="J18" s="67">
        <v>0.151989914305563</v>
      </c>
      <c r="K18" s="70">
        <v>0.2525789</v>
      </c>
      <c r="L18" s="71">
        <f>D18/(1+(F18/J18)*(1-K18)+H18/J18)</f>
        <v>0.36361991994658688</v>
      </c>
    </row>
    <row r="19" spans="2:16" ht="14.45" customHeight="1">
      <c r="B19" s="63" t="s">
        <v>243</v>
      </c>
      <c r="C19" s="64" t="s">
        <v>244</v>
      </c>
      <c r="D19" s="65">
        <v>1.2894270783986499</v>
      </c>
      <c r="E19" s="66">
        <v>57723985239.852402</v>
      </c>
      <c r="F19" s="67">
        <v>0.496418200002126</v>
      </c>
      <c r="G19" s="66">
        <v>0</v>
      </c>
      <c r="H19" s="68">
        <f>0</f>
        <v>0</v>
      </c>
      <c r="I19" s="69">
        <f t="shared" si="0"/>
        <v>58556975529.928375</v>
      </c>
      <c r="J19" s="67">
        <v>0.503581799997874</v>
      </c>
      <c r="K19" s="70">
        <v>0.28921254126124002</v>
      </c>
      <c r="L19" s="71">
        <f t="shared" si="1"/>
        <v>0.75818489425949864</v>
      </c>
    </row>
    <row r="20" spans="2:16" ht="14.45" customHeight="1">
      <c r="B20" s="63" t="s">
        <v>245</v>
      </c>
      <c r="C20" s="64" t="s">
        <v>246</v>
      </c>
      <c r="D20" s="65">
        <v>1.73895602156467</v>
      </c>
      <c r="E20" s="66">
        <v>53008984110.249298</v>
      </c>
      <c r="F20" s="67">
        <v>0.7241590165560351</v>
      </c>
      <c r="G20" s="73">
        <v>0</v>
      </c>
      <c r="H20" s="68">
        <f>0</f>
        <v>0</v>
      </c>
      <c r="I20" s="69">
        <f t="shared" si="0"/>
        <v>20191767241.781258</v>
      </c>
      <c r="J20" s="67">
        <v>0.27584098344396502</v>
      </c>
      <c r="K20" s="70">
        <v>0.37854300000000002</v>
      </c>
      <c r="L20" s="71">
        <f t="shared" si="1"/>
        <v>0.66082390905052313</v>
      </c>
    </row>
    <row r="22" spans="2:16">
      <c r="B22" s="74" t="s">
        <v>247</v>
      </c>
      <c r="C22" s="75"/>
      <c r="D22" s="76">
        <f t="shared" ref="D22:L22" si="2">MEDIAN(D15:D20)</f>
        <v>1.4453009975139599</v>
      </c>
      <c r="E22" s="77">
        <f t="shared" si="2"/>
        <v>62820682688.41935</v>
      </c>
      <c r="F22" s="78">
        <f t="shared" si="2"/>
        <v>0.72397509611315303</v>
      </c>
      <c r="G22" s="77">
        <f t="shared" si="2"/>
        <v>0</v>
      </c>
      <c r="H22" s="78">
        <f t="shared" si="2"/>
        <v>0</v>
      </c>
      <c r="I22" s="77">
        <f t="shared" si="2"/>
        <v>46960450141.811287</v>
      </c>
      <c r="J22" s="78">
        <f t="shared" si="2"/>
        <v>0.27602490388684697</v>
      </c>
      <c r="K22" s="78">
        <f t="shared" si="2"/>
        <v>0.2441256</v>
      </c>
      <c r="L22" s="79">
        <f t="shared" si="2"/>
        <v>0.55903566879618494</v>
      </c>
    </row>
    <row r="24" spans="2:16">
      <c r="B24" s="80" t="str">
        <f>Company_Name</f>
        <v>Ford Motor Company</v>
      </c>
      <c r="C24" s="81" t="s">
        <v>248</v>
      </c>
      <c r="D24" s="82">
        <v>1.86</v>
      </c>
      <c r="E24" s="83"/>
      <c r="F24" s="83"/>
      <c r="G24" s="83"/>
      <c r="H24" s="83"/>
      <c r="I24" s="83"/>
      <c r="J24" s="83"/>
      <c r="K24" s="84"/>
      <c r="L24" s="85"/>
      <c r="P24" s="86"/>
    </row>
    <row r="26" spans="2:16">
      <c r="B26" s="58" t="str">
        <f>TEXT(Company_Name,"")&amp; " - Levered Beta &amp; WACC Calculation"</f>
        <v>Ford Motor Company - Levered Beta &amp; WACC Calculation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</row>
    <row r="27" spans="2:16">
      <c r="B27" s="87"/>
      <c r="C27" s="59"/>
      <c r="D27" s="60" t="s">
        <v>225</v>
      </c>
      <c r="E27" s="60"/>
      <c r="F27" s="60"/>
      <c r="G27" s="60" t="s">
        <v>223</v>
      </c>
      <c r="H27" s="60"/>
      <c r="I27" s="60" t="s">
        <v>224</v>
      </c>
      <c r="J27" s="60"/>
      <c r="K27" s="60"/>
      <c r="L27" s="60" t="s">
        <v>222</v>
      </c>
    </row>
    <row r="28" spans="2:16">
      <c r="B28" s="88"/>
      <c r="C28" s="61" t="s">
        <v>226</v>
      </c>
      <c r="D28" s="62" t="s">
        <v>227</v>
      </c>
      <c r="E28" s="62" t="s">
        <v>228</v>
      </c>
      <c r="F28" s="62" t="s">
        <v>229</v>
      </c>
      <c r="G28" s="62" t="s">
        <v>230</v>
      </c>
      <c r="H28" s="62" t="s">
        <v>231</v>
      </c>
      <c r="I28" s="62" t="s">
        <v>232</v>
      </c>
      <c r="J28" s="62" t="s">
        <v>233</v>
      </c>
      <c r="K28" s="62" t="s">
        <v>234</v>
      </c>
      <c r="L28" s="62" t="s">
        <v>227</v>
      </c>
    </row>
    <row r="29" spans="2:16">
      <c r="B29" s="89" t="s">
        <v>249</v>
      </c>
      <c r="C29" s="89" t="str">
        <f>Ticker</f>
        <v>F</v>
      </c>
      <c r="D29" s="90">
        <f>L22</f>
        <v>0.55903566879618494</v>
      </c>
      <c r="E29" s="73">
        <v>138969000000</v>
      </c>
      <c r="F29" s="91">
        <v>0.74160350112402595</v>
      </c>
      <c r="G29" s="73">
        <v>0</v>
      </c>
      <c r="H29" s="91">
        <v>0</v>
      </c>
      <c r="I29" s="92">
        <f>E29/F29*J29</f>
        <v>48420892023.660744</v>
      </c>
      <c r="J29" s="91">
        <v>0.25839649887597399</v>
      </c>
      <c r="K29" s="93">
        <f>'[1]Ford Motor Co | Ratios - Key Me'!G12</f>
        <v>0.17799999999999999</v>
      </c>
      <c r="L29" s="94">
        <f>D29*(1+(F29/J29)*(1-K29)+(H29/J29))</f>
        <v>1.8778889453363441</v>
      </c>
    </row>
    <row r="30" spans="2:16">
      <c r="B30" s="49" t="s">
        <v>250</v>
      </c>
      <c r="C30" s="49" t="str">
        <f>Ticker</f>
        <v>F</v>
      </c>
      <c r="D30" s="95">
        <f>+L22</f>
        <v>0.55903566879618494</v>
      </c>
      <c r="E30" s="96">
        <f>+F30*($E29+$G29+$I29)</f>
        <v>135665615088.46315</v>
      </c>
      <c r="F30" s="97">
        <f>+F22</f>
        <v>0.72397509611315303</v>
      </c>
      <c r="G30" s="96">
        <f>+H30*($E29+$G29+$I29)</f>
        <v>0</v>
      </c>
      <c r="H30" s="97">
        <f>+H22</f>
        <v>0</v>
      </c>
      <c r="I30" s="96">
        <f>+J30*($E29+$G29+$I29)</f>
        <v>51724276935.197586</v>
      </c>
      <c r="J30" s="97">
        <f>+J22</f>
        <v>0.27602490388684697</v>
      </c>
      <c r="K30" s="98">
        <f>K29</f>
        <v>0.17799999999999999</v>
      </c>
      <c r="L30" s="99">
        <f>D30*(1+(F30/J30)*(1-K30)+(H30/J30))</f>
        <v>1.7643121884081345</v>
      </c>
      <c r="P30" s="100"/>
    </row>
    <row r="32" spans="2:16">
      <c r="B32" s="101" t="s">
        <v>251</v>
      </c>
      <c r="C32" s="102"/>
      <c r="D32" s="102"/>
      <c r="E32" s="102"/>
      <c r="F32" s="102"/>
      <c r="G32" s="102"/>
      <c r="H32" s="102"/>
      <c r="I32" s="102"/>
      <c r="J32" s="102"/>
      <c r="K32" s="102"/>
      <c r="L32" s="103">
        <f>+Risk_Free_Rate+Equity_Risk_Premium*L29</f>
        <v>0.19069975994716756</v>
      </c>
    </row>
    <row r="33" spans="2:12">
      <c r="B33" s="104" t="s">
        <v>252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6">
        <f>+Risk_Free_Rate+Equity_Risk_Premium*L30</f>
        <v>0.18186348825815285</v>
      </c>
    </row>
    <row r="34" spans="2:12">
      <c r="B34" s="107" t="s">
        <v>253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9">
        <f>+Risk_Free_Rate+Equity_Risk_Premium*D24</f>
        <v>0.189308</v>
      </c>
    </row>
    <row r="35" spans="2:12"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</row>
    <row r="36" spans="2:12">
      <c r="B36" s="49" t="s">
        <v>254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2:12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</row>
    <row r="38" spans="2:12">
      <c r="B38" s="101" t="s">
        <v>255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11">
        <f>+L32*J29+Cost_of_Debt*(1-Tax_Rate)*F29+Cost_of_Preferred*H29</f>
        <v>7.6292584159927276E-2</v>
      </c>
    </row>
    <row r="39" spans="2:12">
      <c r="B39" s="104" t="s">
        <v>256</v>
      </c>
      <c r="C39" s="105"/>
      <c r="D39" s="105"/>
      <c r="E39" s="105"/>
      <c r="F39" s="105"/>
      <c r="G39" s="105"/>
      <c r="H39" s="105"/>
      <c r="I39" s="105"/>
      <c r="J39" s="105"/>
      <c r="K39" s="105"/>
      <c r="L39" s="112">
        <f>+L33*J30+Cost_of_Debt*(1-Tax_Rate)*F30+Cost_of_Preferred*H30</f>
        <v>7.6573087244486984E-2</v>
      </c>
    </row>
    <row r="40" spans="2:12">
      <c r="B40" s="107" t="s">
        <v>257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13">
        <f>+L34*J29+Cost_of_Debt*(1-Tax_Rate)*F29+Cost_of_Preferred*H29</f>
        <v>7.5932958262303368E-2</v>
      </c>
    </row>
    <row r="42" spans="2:12">
      <c r="B42" s="80" t="s">
        <v>258</v>
      </c>
      <c r="C42" s="114"/>
      <c r="D42" s="114"/>
      <c r="E42" s="114"/>
      <c r="F42" s="114"/>
      <c r="G42" s="114"/>
      <c r="H42" s="114"/>
      <c r="I42" s="114"/>
      <c r="J42" s="114"/>
      <c r="K42" s="114"/>
      <c r="L42" s="115">
        <f>AVERAGE(L38:L40)</f>
        <v>7.6266209888905881E-2</v>
      </c>
    </row>
  </sheetData>
  <printOptions headings="1" gridLines="1"/>
  <pageMargins left="0.7" right="0.7" top="0.75" bottom="0.75" header="0.3" footer="0.3"/>
  <pageSetup scale="74" orientation="landscape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1344-451F-4287-A6A4-BE34A6715C58}">
  <sheetPr>
    <pageSetUpPr autoPageBreaks="0" fitToPage="1"/>
  </sheetPr>
  <dimension ref="A2:AJ131"/>
  <sheetViews>
    <sheetView zoomScale="90" zoomScaleNormal="90" workbookViewId="0">
      <selection activeCell="H7" sqref="H7"/>
    </sheetView>
  </sheetViews>
  <sheetFormatPr defaultColWidth="9.140625" defaultRowHeight="15" outlineLevelRow="1"/>
  <cols>
    <col min="1" max="2" width="2.7109375" style="117" customWidth="1"/>
    <col min="3" max="5" width="12.7109375" style="117" customWidth="1"/>
    <col min="6" max="7" width="13.85546875" style="117" customWidth="1"/>
    <col min="8" max="8" width="14.42578125" style="117" customWidth="1"/>
    <col min="9" max="9" width="15.7109375" style="117" customWidth="1"/>
    <col min="10" max="10" width="14.7109375" style="117" customWidth="1"/>
    <col min="11" max="11" width="15.7109375" style="117" customWidth="1"/>
    <col min="12" max="12" width="24.28515625" style="117" customWidth="1"/>
    <col min="13" max="13" width="17" style="117" customWidth="1"/>
    <col min="14" max="14" width="12.140625" style="117" customWidth="1"/>
    <col min="15" max="15" width="10.85546875" style="117" customWidth="1"/>
    <col min="16" max="16" width="13.7109375" style="117" customWidth="1"/>
    <col min="17" max="17" width="6" style="117" customWidth="1"/>
    <col min="19" max="20" width="9.140625" style="117"/>
    <col min="21" max="21" width="9.140625" style="117" customWidth="1"/>
    <col min="22" max="16384" width="9.140625" style="117"/>
  </cols>
  <sheetData>
    <row r="2" spans="2:34" ht="15.75">
      <c r="B2" s="116" t="str">
        <f>"Discounted Cash Flow Analysis - "&amp;Company_Name&amp;""</f>
        <v>Discounted Cash Flow Analysis - Ford Motor Company</v>
      </c>
      <c r="D2" s="118"/>
      <c r="E2" s="118"/>
      <c r="F2" s="118"/>
      <c r="G2" s="119" t="s">
        <v>259</v>
      </c>
      <c r="H2" s="120" t="s">
        <v>248</v>
      </c>
      <c r="I2" s="118"/>
      <c r="J2" s="119" t="s">
        <v>260</v>
      </c>
      <c r="K2" s="121">
        <v>45238</v>
      </c>
      <c r="L2" s="118"/>
      <c r="M2" s="118" t="s">
        <v>261</v>
      </c>
      <c r="N2" s="122">
        <v>44926</v>
      </c>
      <c r="O2" s="118"/>
    </row>
    <row r="3" spans="2:34">
      <c r="B3" s="123" t="s">
        <v>262</v>
      </c>
      <c r="D3" s="118"/>
      <c r="E3" s="118"/>
      <c r="F3" s="118"/>
      <c r="G3" s="119" t="s">
        <v>263</v>
      </c>
      <c r="H3" s="120" t="s">
        <v>264</v>
      </c>
      <c r="I3" s="118"/>
      <c r="J3" s="118"/>
      <c r="K3" s="118"/>
      <c r="L3" s="118"/>
      <c r="M3" s="118"/>
      <c r="N3" s="118"/>
      <c r="O3" s="118"/>
    </row>
    <row r="4" spans="2:34"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S4" s="118"/>
      <c r="T4" s="118"/>
      <c r="U4" s="118"/>
    </row>
    <row r="5" spans="2:34"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18"/>
      <c r="S5" s="118"/>
      <c r="T5" s="118"/>
      <c r="U5" s="118"/>
    </row>
    <row r="6" spans="2:34" ht="15.75">
      <c r="B6" s="125" t="str">
        <f>Company_Name&amp;" - DCF Assumptions &amp; Output:"</f>
        <v>Ford Motor Company - DCF Assumptions &amp; Output:</v>
      </c>
      <c r="C6" s="126"/>
      <c r="D6" s="126"/>
      <c r="E6" s="126"/>
      <c r="F6" s="126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18"/>
      <c r="S6" s="118"/>
      <c r="T6" s="118"/>
      <c r="U6" s="118"/>
      <c r="V6" s="12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</row>
    <row r="7" spans="2:34"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</row>
    <row r="8" spans="2:34" ht="15.75" thickBot="1">
      <c r="C8" s="123" t="s">
        <v>265</v>
      </c>
      <c r="D8" s="123"/>
      <c r="E8" s="129"/>
      <c r="F8" s="130" t="s">
        <v>266</v>
      </c>
      <c r="G8" s="118"/>
      <c r="H8" s="131" t="s">
        <v>267</v>
      </c>
      <c r="I8" s="132"/>
      <c r="J8" s="132"/>
      <c r="K8" s="133">
        <v>1</v>
      </c>
      <c r="L8" s="118"/>
      <c r="M8" s="131" t="s">
        <v>268</v>
      </c>
      <c r="N8" s="132"/>
      <c r="O8" s="132"/>
      <c r="P8" s="132"/>
      <c r="Q8" s="12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</row>
    <row r="9" spans="2:34">
      <c r="C9" s="123" t="s">
        <v>269</v>
      </c>
      <c r="F9" s="134">
        <v>10.050000000000001</v>
      </c>
      <c r="G9" s="135" t="s">
        <v>270</v>
      </c>
      <c r="L9" s="118"/>
      <c r="M9" s="118"/>
      <c r="N9" s="118"/>
      <c r="O9" s="118"/>
      <c r="P9" s="118"/>
      <c r="Q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</row>
    <row r="10" spans="2:34">
      <c r="G10" s="118"/>
      <c r="H10" s="136" t="s">
        <v>271</v>
      </c>
      <c r="I10" s="118"/>
      <c r="J10" s="118"/>
      <c r="K10" s="137">
        <f>F16/(1+Discount_Rate)^5</f>
        <v>99989.901459899964</v>
      </c>
      <c r="L10" s="138"/>
      <c r="M10" s="136" t="s">
        <v>271</v>
      </c>
      <c r="N10" s="118"/>
      <c r="O10" s="118"/>
      <c r="P10" s="139">
        <f>F21/(1+Discount_Rate)^5</f>
        <v>153244.4974567091</v>
      </c>
      <c r="Q10" s="13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</row>
    <row r="11" spans="2:34">
      <c r="C11" s="118" t="s">
        <v>272</v>
      </c>
      <c r="F11" s="140">
        <f>(21.9%+18.67%)/2</f>
        <v>0.20284999999999997</v>
      </c>
      <c r="H11" s="141" t="s">
        <v>273</v>
      </c>
      <c r="I11" s="142"/>
      <c r="J11" s="142"/>
      <c r="K11" s="137">
        <f>NPV(Discount_Rate,K58:O58)</f>
        <v>46754.527043038317</v>
      </c>
      <c r="L11" s="143"/>
      <c r="M11" s="141" t="s">
        <v>273</v>
      </c>
      <c r="N11" s="142"/>
      <c r="O11" s="142"/>
      <c r="P11" s="144">
        <f>NPV(Discount_Rate,K58:O58)</f>
        <v>46754.527043038317</v>
      </c>
      <c r="Q11" s="13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</row>
    <row r="12" spans="2:34">
      <c r="C12" s="118" t="s">
        <v>274</v>
      </c>
      <c r="D12" s="118"/>
      <c r="E12" s="118"/>
      <c r="F12" s="145">
        <f>WACC!L42</f>
        <v>7.6266209888905881E-2</v>
      </c>
      <c r="G12" s="118"/>
      <c r="H12" s="128" t="s">
        <v>275</v>
      </c>
      <c r="I12" s="118"/>
      <c r="J12" s="118"/>
      <c r="K12" s="146">
        <f>SUM(K10:K11)</f>
        <v>146744.42850293827</v>
      </c>
      <c r="L12" s="143"/>
      <c r="M12" s="128" t="s">
        <v>275</v>
      </c>
      <c r="N12" s="118"/>
      <c r="O12" s="118"/>
      <c r="P12" s="139">
        <f>SUM(P10:P11)</f>
        <v>199999.02449974741</v>
      </c>
      <c r="Q12" s="13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</row>
    <row r="13" spans="2:34">
      <c r="C13" s="118"/>
      <c r="D13" s="118"/>
      <c r="I13" s="118"/>
      <c r="J13" s="118"/>
      <c r="K13" s="147"/>
      <c r="L13" s="118"/>
      <c r="M13" s="128"/>
      <c r="N13" s="118"/>
      <c r="O13" s="118"/>
      <c r="P13" s="148"/>
      <c r="Q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</row>
    <row r="14" spans="2:34">
      <c r="C14" s="118"/>
      <c r="D14" s="118"/>
      <c r="E14" s="118"/>
      <c r="F14" s="118"/>
      <c r="G14" s="118"/>
      <c r="H14" s="118"/>
      <c r="L14" s="118"/>
      <c r="M14" s="118"/>
      <c r="N14" s="118"/>
      <c r="O14" s="118"/>
      <c r="P14" s="118"/>
      <c r="Q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</row>
    <row r="15" spans="2:34">
      <c r="C15" s="118" t="s">
        <v>276</v>
      </c>
      <c r="D15" s="118"/>
      <c r="E15" s="149"/>
      <c r="F15" s="150">
        <v>6</v>
      </c>
      <c r="G15" s="118"/>
      <c r="H15" s="118" t="s">
        <v>277</v>
      </c>
      <c r="K15" s="151">
        <f>K10/K12</f>
        <v>0.68138806004411856</v>
      </c>
      <c r="L15" s="118"/>
      <c r="M15" s="118" t="s">
        <v>277</v>
      </c>
      <c r="N15" s="118"/>
      <c r="O15" s="118"/>
      <c r="P15" s="152">
        <f>P10/P12</f>
        <v>0.76622622455292344</v>
      </c>
      <c r="Q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</row>
    <row r="16" spans="2:34">
      <c r="C16" s="118" t="s">
        <v>278</v>
      </c>
      <c r="F16" s="153">
        <f>Terminal_Multiple*O61</f>
        <v>144395.83549567047</v>
      </c>
      <c r="G16" s="138"/>
      <c r="L16" s="118"/>
      <c r="M16" s="118"/>
      <c r="N16" s="118"/>
      <c r="O16" s="118"/>
      <c r="P16" s="118"/>
      <c r="Q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</row>
    <row r="17" spans="2:36">
      <c r="C17" s="118" t="s">
        <v>279</v>
      </c>
      <c r="D17" s="118"/>
      <c r="E17" s="149"/>
      <c r="F17" s="154">
        <f>(F16*F12-O58)/(O58+F16)</f>
        <v>-7.6313402422075868E-3</v>
      </c>
      <c r="G17" s="118"/>
      <c r="H17" s="118" t="s">
        <v>280</v>
      </c>
      <c r="I17" s="118"/>
      <c r="J17" s="118"/>
      <c r="K17" s="155">
        <f>'Ford Motor Co | Balance Sheet '!B71+'Ford Motor Co | Balance Sheet '!B64+'Ford Motor Co | Balance Sheet '!B63-'Ford Motor Co | Balance Sheet '!B23</f>
        <v>94899</v>
      </c>
      <c r="L17" s="118"/>
      <c r="M17" s="118" t="s">
        <v>280</v>
      </c>
      <c r="N17" s="118"/>
      <c r="O17" s="118"/>
      <c r="P17" s="155">
        <f>K17</f>
        <v>94899</v>
      </c>
      <c r="Q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</row>
    <row r="18" spans="2:36">
      <c r="C18" s="118"/>
      <c r="D18" s="118"/>
      <c r="E18" s="149"/>
      <c r="F18" s="154"/>
      <c r="G18" s="118"/>
      <c r="H18" s="118"/>
      <c r="I18" s="118"/>
      <c r="J18" s="118"/>
      <c r="K18" s="156"/>
      <c r="L18" s="118"/>
      <c r="M18" s="118"/>
      <c r="N18" s="118"/>
      <c r="O18" s="118"/>
      <c r="P18" s="156"/>
      <c r="Q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</row>
    <row r="19" spans="2:36">
      <c r="F19" s="157"/>
      <c r="G19" s="118"/>
      <c r="H19" s="158" t="s">
        <v>281</v>
      </c>
      <c r="I19" s="118"/>
      <c r="J19" s="118"/>
      <c r="K19" s="159">
        <f>K12-K17</f>
        <v>51845.428502938274</v>
      </c>
      <c r="L19" s="143"/>
      <c r="M19" s="158" t="s">
        <v>281</v>
      </c>
      <c r="N19" s="118"/>
      <c r="O19" s="118"/>
      <c r="P19" s="159">
        <f>P12-P17</f>
        <v>105100.02449974741</v>
      </c>
      <c r="Q19" s="13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</row>
    <row r="20" spans="2:36">
      <c r="C20" s="118" t="s">
        <v>282</v>
      </c>
      <c r="D20" s="118"/>
      <c r="E20" s="149"/>
      <c r="F20" s="160">
        <v>0.02</v>
      </c>
      <c r="G20" s="128"/>
      <c r="H20" s="118" t="s">
        <v>283</v>
      </c>
      <c r="I20" s="118"/>
      <c r="J20" s="118"/>
      <c r="K20" s="161">
        <f>4002954437/1000000</f>
        <v>4002.9544369999999</v>
      </c>
      <c r="L20" s="118"/>
      <c r="M20" s="118" t="s">
        <v>283</v>
      </c>
      <c r="O20" s="118"/>
      <c r="P20" s="162">
        <f>Diluted_Shares</f>
        <v>4002.9544369999999</v>
      </c>
      <c r="Q20" s="118"/>
      <c r="S20" s="118"/>
      <c r="T20" s="118"/>
      <c r="U20" s="118"/>
      <c r="V20" s="12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</row>
    <row r="21" spans="2:36">
      <c r="C21" s="118" t="s">
        <v>278</v>
      </c>
      <c r="D21" s="118"/>
      <c r="E21" s="118"/>
      <c r="F21" s="163">
        <f>O58*(1+Terminal_Growth_Rate)/(Discount_Rate-Terminal_Growth_Rate)</f>
        <v>221301.02062606628</v>
      </c>
      <c r="G21" s="13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</row>
    <row r="22" spans="2:36">
      <c r="C22" s="118" t="s">
        <v>284</v>
      </c>
      <c r="F22" s="164">
        <f>F21/O61</f>
        <v>9.1955984686013341</v>
      </c>
      <c r="G22" s="118"/>
      <c r="H22" s="165" t="s">
        <v>285</v>
      </c>
      <c r="I22" s="166"/>
      <c r="J22" s="166"/>
      <c r="K22" s="167">
        <f>K19/K20</f>
        <v>12.951790813235847</v>
      </c>
      <c r="L22" s="143"/>
      <c r="M22" s="165" t="s">
        <v>285</v>
      </c>
      <c r="N22" s="168"/>
      <c r="O22" s="168"/>
      <c r="P22" s="167">
        <f>P19/P20</f>
        <v>26.255613485951702</v>
      </c>
      <c r="Q22" s="13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</row>
    <row r="23" spans="2:36">
      <c r="G23" s="118"/>
      <c r="H23" s="166" t="s">
        <v>286</v>
      </c>
      <c r="I23" s="166"/>
      <c r="J23" s="166"/>
      <c r="K23" s="151">
        <f>K22/Share_Price-1</f>
        <v>0.28873540430207423</v>
      </c>
      <c r="L23" s="143"/>
      <c r="M23" s="166" t="s">
        <v>286</v>
      </c>
      <c r="N23" s="168"/>
      <c r="O23" s="168"/>
      <c r="P23" s="151">
        <f>P22/Share_Price-1</f>
        <v>1.6124988543235523</v>
      </c>
      <c r="Q23" s="13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</row>
    <row r="24" spans="2:36"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S24" s="118"/>
      <c r="T24" s="118"/>
      <c r="U24" s="118"/>
      <c r="V24" s="118"/>
      <c r="W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</row>
    <row r="25" spans="2:36" outlineLevel="1">
      <c r="C25" s="118"/>
      <c r="D25" s="118"/>
      <c r="E25" s="118"/>
      <c r="F25" s="118"/>
      <c r="G25" s="118"/>
      <c r="H25" s="118"/>
      <c r="I25" s="169">
        <v>1</v>
      </c>
      <c r="J25" s="170">
        <f>+I25+1</f>
        <v>2</v>
      </c>
      <c r="K25" s="170">
        <f>+J25+1</f>
        <v>3</v>
      </c>
      <c r="L25" s="170">
        <f>+K25+1</f>
        <v>4</v>
      </c>
      <c r="M25" s="170">
        <f>+L25+1</f>
        <v>5</v>
      </c>
      <c r="N25" s="118"/>
      <c r="O25" s="118"/>
      <c r="P25" s="118"/>
      <c r="Q25" s="118"/>
      <c r="S25" s="118"/>
      <c r="T25" s="118"/>
      <c r="U25" s="118"/>
      <c r="V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</row>
    <row r="26" spans="2:36">
      <c r="B26" s="171"/>
      <c r="C26" s="171"/>
      <c r="D26" s="171"/>
      <c r="E26" s="171"/>
      <c r="F26" s="172"/>
      <c r="G26" s="172"/>
      <c r="H26" s="173" t="s">
        <v>287</v>
      </c>
      <c r="I26" s="174"/>
      <c r="J26" s="175"/>
      <c r="K26" s="176" t="s">
        <v>288</v>
      </c>
      <c r="L26" s="177"/>
      <c r="M26" s="177"/>
      <c r="N26" s="177"/>
      <c r="O26" s="177"/>
      <c r="P26" s="177"/>
      <c r="Q26" s="118"/>
      <c r="R26" s="118"/>
      <c r="S26" s="118"/>
      <c r="T26"/>
      <c r="U26" s="118"/>
      <c r="V26" s="178"/>
      <c r="W26" s="178"/>
      <c r="X26" s="118"/>
      <c r="Y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2:36">
      <c r="B27" s="172" t="str">
        <f>Company_Name&amp;" - FCF Projections:"</f>
        <v>Ford Motor Company - FCF Projections:</v>
      </c>
      <c r="C27" s="172"/>
      <c r="D27" s="172"/>
      <c r="E27" s="172"/>
      <c r="F27" s="179">
        <f>G27-1</f>
        <v>2018</v>
      </c>
      <c r="G27" s="179">
        <f>H27-1</f>
        <v>2019</v>
      </c>
      <c r="H27" s="179">
        <f>I27-1</f>
        <v>2020</v>
      </c>
      <c r="I27" s="179">
        <f>J27-1</f>
        <v>2021</v>
      </c>
      <c r="J27" s="180">
        <v>2022</v>
      </c>
      <c r="K27" s="181">
        <f>J27+1</f>
        <v>2023</v>
      </c>
      <c r="L27" s="181">
        <f>K27+1</f>
        <v>2024</v>
      </c>
      <c r="M27" s="181">
        <f>L27+1</f>
        <v>2025</v>
      </c>
      <c r="N27" s="181">
        <f>M27+1</f>
        <v>2026</v>
      </c>
      <c r="O27" s="181">
        <f>N27+1</f>
        <v>2027</v>
      </c>
      <c r="P27" s="177" t="s">
        <v>289</v>
      </c>
      <c r="Q27" s="118"/>
      <c r="R27" s="118"/>
      <c r="S27" s="128"/>
      <c r="T27"/>
      <c r="U27" s="118"/>
      <c r="V27" s="178"/>
      <c r="W27" s="178"/>
      <c r="X27" s="118"/>
      <c r="Y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</row>
    <row r="28" spans="2:36">
      <c r="C28" s="118"/>
      <c r="D28" s="118"/>
      <c r="E28" s="118"/>
      <c r="F28" s="118"/>
      <c r="G28" s="118"/>
      <c r="H28" s="118"/>
      <c r="I28" s="118"/>
      <c r="J28" s="118"/>
      <c r="K28" s="128"/>
      <c r="L28" s="128"/>
      <c r="M28" s="128"/>
      <c r="N28" s="128"/>
      <c r="O28" s="128"/>
      <c r="P28" s="128"/>
      <c r="Q28" s="118"/>
      <c r="R28" s="118"/>
      <c r="S28" s="118"/>
      <c r="T28"/>
      <c r="U28" s="118"/>
      <c r="V28" s="178"/>
      <c r="W28" s="178"/>
      <c r="X28" s="118"/>
      <c r="Y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2:36">
      <c r="C29" s="128" t="s">
        <v>290</v>
      </c>
      <c r="D29" s="118"/>
      <c r="E29" s="118"/>
      <c r="F29" s="182">
        <f>'Ford Motor Co | Income Statemen'!G23</f>
        <v>160338</v>
      </c>
      <c r="G29" s="182">
        <f>'Ford Motor Co | Income Statemen'!F23</f>
        <v>155900</v>
      </c>
      <c r="H29" s="182">
        <f>'Ford Motor Co | Income Statemen'!E23</f>
        <v>127144</v>
      </c>
      <c r="I29" s="182">
        <f>'Ford Motor Co | Income Statemen'!D23</f>
        <v>136341</v>
      </c>
      <c r="J29" s="182">
        <f>'Ford Motor Co | Income Statemen'!C23</f>
        <v>158057</v>
      </c>
      <c r="K29" s="149">
        <f>J29*(1+K30)</f>
        <v>171692.36786740011</v>
      </c>
      <c r="L29" s="149">
        <f>K29*(1+L30)</f>
        <v>181572.58157629651</v>
      </c>
      <c r="M29" s="149">
        <f>L29*(1+M30)</f>
        <v>183226.70779445657</v>
      </c>
      <c r="N29" s="149">
        <f>M29*(1+N30)</f>
        <v>191513.63410309053</v>
      </c>
      <c r="O29" s="149">
        <f>N29*(1+O30)</f>
        <v>194718.57561809832</v>
      </c>
      <c r="P29" s="183"/>
      <c r="Q29" s="184"/>
      <c r="R29" s="118"/>
      <c r="S29" s="118"/>
      <c r="T29"/>
      <c r="U29" s="118"/>
      <c r="V29" s="178"/>
      <c r="W29" s="178"/>
      <c r="X29" s="118"/>
      <c r="Y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</row>
    <row r="30" spans="2:36">
      <c r="C30" s="185" t="s">
        <v>291</v>
      </c>
      <c r="D30" s="118"/>
      <c r="E30" s="118"/>
      <c r="F30" s="186">
        <f>F29/156776-1</f>
        <v>2.2720314333826597E-2</v>
      </c>
      <c r="G30" s="186">
        <f>G29/F29-1</f>
        <v>-2.767902805323752E-2</v>
      </c>
      <c r="H30" s="186">
        <f>H29/G29-1</f>
        <v>-0.1844515715202053</v>
      </c>
      <c r="I30" s="186">
        <f>+I29/H29-1</f>
        <v>7.2335304851192328E-2</v>
      </c>
      <c r="J30" s="186">
        <f>+J29/I29-1</f>
        <v>0.15927710666637318</v>
      </c>
      <c r="K30" s="187">
        <v>8.6268674385823599E-2</v>
      </c>
      <c r="L30" s="187">
        <v>5.7546027418801701E-2</v>
      </c>
      <c r="M30" s="187">
        <v>9.11E-3</v>
      </c>
      <c r="N30" s="187">
        <v>4.5227720392870999E-2</v>
      </c>
      <c r="O30" s="187">
        <v>1.6734795566996502E-2</v>
      </c>
      <c r="P30" s="183"/>
      <c r="Q30" s="188"/>
      <c r="R30" s="118"/>
      <c r="S30" s="128"/>
      <c r="T30"/>
      <c r="U30" s="118"/>
      <c r="V30" s="189"/>
      <c r="W30" s="190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</row>
    <row r="31" spans="2:36">
      <c r="C31" s="128" t="s">
        <v>292</v>
      </c>
      <c r="D31" s="118"/>
      <c r="E31" s="118"/>
      <c r="F31" s="191">
        <f>'Ford Motor Co | Income Statemen'!G40</f>
        <v>3203</v>
      </c>
      <c r="G31" s="191">
        <f>'Ford Motor Co | Income Statemen'!F40</f>
        <v>519</v>
      </c>
      <c r="H31" s="191">
        <f>'Ford Motor Co | Income Statemen'!E40</f>
        <v>-4409</v>
      </c>
      <c r="I31" s="191">
        <f>'Ford Motor Co | Income Statemen'!D40</f>
        <v>2821</v>
      </c>
      <c r="J31" s="191">
        <f>'Ford Motor Co | Income Statemen'!C40</f>
        <v>6155</v>
      </c>
      <c r="K31" s="192">
        <f>J31*(1+K33)</f>
        <v>12539.315679644704</v>
      </c>
      <c r="L31" s="192">
        <f t="shared" ref="L31:O31" si="0">K31*(1+L33)</f>
        <v>14854.097394341719</v>
      </c>
      <c r="M31" s="192">
        <f t="shared" si="0"/>
        <v>15096.229000218933</v>
      </c>
      <c r="N31" s="192">
        <f t="shared" si="0"/>
        <v>15977.244480502959</v>
      </c>
      <c r="O31" s="192">
        <f t="shared" si="0"/>
        <v>16005.972582611746</v>
      </c>
      <c r="P31" s="183"/>
      <c r="Q31" s="184"/>
      <c r="R31" s="118"/>
      <c r="S31" s="118"/>
      <c r="T31"/>
      <c r="U31" s="118"/>
      <c r="V31" s="178"/>
      <c r="W31" s="17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</row>
    <row r="32" spans="2:36">
      <c r="C32" s="185" t="s">
        <v>293</v>
      </c>
      <c r="D32" s="118"/>
      <c r="E32" s="118"/>
      <c r="F32" s="186">
        <f>+F31/F29</f>
        <v>1.9976549539098654E-2</v>
      </c>
      <c r="G32" s="186">
        <f>+G31/G29</f>
        <v>3.3290570878768441E-3</v>
      </c>
      <c r="H32" s="186">
        <f>+H31/H29</f>
        <v>-3.4677216384571823E-2</v>
      </c>
      <c r="I32" s="186">
        <f>+I31/I29</f>
        <v>2.069076800082147E-2</v>
      </c>
      <c r="J32" s="186">
        <f>+J31/J29</f>
        <v>3.8941647633448692E-2</v>
      </c>
      <c r="K32" s="187">
        <f t="shared" ref="K32:L32" si="1">+K31/K29</f>
        <v>7.3033623074783116E-2</v>
      </c>
      <c r="L32" s="187">
        <f t="shared" si="1"/>
        <v>8.1808042080957308E-2</v>
      </c>
      <c r="M32" s="187">
        <f>+M31/M29</f>
        <v>8.2390985364174413E-2</v>
      </c>
      <c r="N32" s="187">
        <f t="shared" ref="N32:O32" si="2">+N31/N29</f>
        <v>8.3426146422048014E-2</v>
      </c>
      <c r="O32" s="187">
        <f t="shared" si="2"/>
        <v>8.2200542664220555E-2</v>
      </c>
      <c r="P32" s="193"/>
      <c r="Q32" s="184"/>
      <c r="R32" s="118"/>
      <c r="S32" s="118"/>
      <c r="T32"/>
      <c r="U32" s="118"/>
      <c r="V32" s="189"/>
      <c r="W32" s="190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</row>
    <row r="33" spans="3:36">
      <c r="C33" s="185" t="s">
        <v>294</v>
      </c>
      <c r="D33" s="118"/>
      <c r="E33" s="118"/>
      <c r="F33" s="186">
        <f>IFERROR(F31/4881-1, "N/A")</f>
        <v>-0.34378201188281088</v>
      </c>
      <c r="G33" s="186">
        <f>IFERROR(G31/F31-1, "N/A")</f>
        <v>-0.8379644083671558</v>
      </c>
      <c r="H33" s="186">
        <f>IFERROR(H31/G31-1, "N/A")</f>
        <v>-9.4951830443159917</v>
      </c>
      <c r="I33" s="186">
        <f>IFERROR(I31/H31-1, "N/A")</f>
        <v>-1.6398276253118622</v>
      </c>
      <c r="J33" s="186">
        <f>IFERROR(J31/I31-1, "N/A")</f>
        <v>1.1818504076568592</v>
      </c>
      <c r="K33" s="186">
        <v>1.0372568122899599</v>
      </c>
      <c r="L33" s="186">
        <v>0.18460191718872199</v>
      </c>
      <c r="M33" s="186">
        <v>1.63006609859341E-2</v>
      </c>
      <c r="N33" s="186">
        <v>5.8359970577503001E-2</v>
      </c>
      <c r="O33" s="186">
        <v>1.7980636237897598E-3</v>
      </c>
      <c r="P33" s="193"/>
      <c r="Q33" s="184"/>
      <c r="R33" s="118"/>
      <c r="S33" s="118"/>
      <c r="T33"/>
      <c r="U33" s="118"/>
      <c r="V33" s="189"/>
      <c r="W33" s="190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</row>
    <row r="34" spans="3:36">
      <c r="C34" s="128"/>
      <c r="D34" s="118"/>
      <c r="E34" s="118"/>
      <c r="F34" s="118"/>
      <c r="G34" s="118"/>
      <c r="H34" s="118"/>
      <c r="I34" s="118"/>
      <c r="J34" s="154"/>
      <c r="K34" s="194"/>
      <c r="L34" s="194"/>
      <c r="M34" s="194"/>
      <c r="N34" s="194"/>
      <c r="O34" s="194"/>
      <c r="P34" s="194"/>
      <c r="Q34" s="184"/>
      <c r="R34" s="118"/>
      <c r="S34" s="128"/>
      <c r="T34"/>
      <c r="U34" s="118"/>
      <c r="V34" s="178"/>
      <c r="W34" s="17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</row>
    <row r="35" spans="3:36">
      <c r="C35" s="118" t="s">
        <v>295</v>
      </c>
      <c r="D35" s="118"/>
      <c r="E35" s="118"/>
      <c r="F35" s="195">
        <f t="shared" ref="F35:O35" si="3">-F31*Tax_Rate</f>
        <v>-649.72854999999993</v>
      </c>
      <c r="G35" s="195">
        <f t="shared" si="3"/>
        <v>-105.27914999999999</v>
      </c>
      <c r="H35" s="195">
        <f t="shared" si="3"/>
        <v>894.36564999999985</v>
      </c>
      <c r="I35" s="195">
        <f t="shared" si="3"/>
        <v>-572.23984999999993</v>
      </c>
      <c r="J35" s="195">
        <f t="shared" si="3"/>
        <v>-1248.5417499999999</v>
      </c>
      <c r="K35" s="195">
        <f t="shared" si="3"/>
        <v>-2543.6001856159278</v>
      </c>
      <c r="L35" s="195">
        <f t="shared" si="3"/>
        <v>-3013.1536564422172</v>
      </c>
      <c r="M35" s="195">
        <f t="shared" si="3"/>
        <v>-3062.27005269441</v>
      </c>
      <c r="N35" s="195">
        <f t="shared" si="3"/>
        <v>-3240.984042870025</v>
      </c>
      <c r="O35" s="195">
        <f t="shared" si="3"/>
        <v>-3246.8115383827922</v>
      </c>
      <c r="P35" s="196"/>
      <c r="Q35" s="184"/>
      <c r="R35" s="118"/>
      <c r="S35" s="118"/>
      <c r="T35"/>
      <c r="U35" s="118"/>
      <c r="V35" s="178"/>
      <c r="W35" s="17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</row>
    <row r="36" spans="3:36">
      <c r="C36" s="128"/>
      <c r="D36" s="118"/>
      <c r="E36" s="118"/>
      <c r="F36" s="118"/>
      <c r="G36" s="118"/>
      <c r="H36" s="194"/>
      <c r="I36" s="194"/>
      <c r="J36" s="194"/>
      <c r="K36" s="194"/>
      <c r="L36" s="194"/>
      <c r="M36" s="194"/>
      <c r="N36" s="194"/>
      <c r="O36" s="194"/>
      <c r="P36" s="196"/>
      <c r="Q36" s="184"/>
      <c r="R36" s="118"/>
      <c r="S36" s="118"/>
      <c r="T36"/>
      <c r="U36" s="118"/>
      <c r="V36" s="178"/>
      <c r="W36" s="178"/>
      <c r="X36" s="12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</row>
    <row r="37" spans="3:36">
      <c r="C37" s="128" t="s">
        <v>296</v>
      </c>
      <c r="D37" s="118"/>
      <c r="E37" s="118"/>
      <c r="F37" s="192">
        <f>+F31+F35</f>
        <v>2553.2714500000002</v>
      </c>
      <c r="G37" s="192">
        <f>+G31+G35</f>
        <v>413.72085000000004</v>
      </c>
      <c r="H37" s="192">
        <f>+H31+H35</f>
        <v>-3514.6343500000003</v>
      </c>
      <c r="I37" s="192">
        <f t="shared" ref="I37:O37" si="4">+I31+I35</f>
        <v>2248.7601500000001</v>
      </c>
      <c r="J37" s="192">
        <f t="shared" si="4"/>
        <v>4906.4582499999997</v>
      </c>
      <c r="K37" s="192">
        <f t="shared" si="4"/>
        <v>9995.7154940287764</v>
      </c>
      <c r="L37" s="192">
        <f t="shared" si="4"/>
        <v>11840.943737899503</v>
      </c>
      <c r="M37" s="192">
        <f t="shared" si="4"/>
        <v>12033.958947524523</v>
      </c>
      <c r="N37" s="192">
        <f t="shared" si="4"/>
        <v>12736.260437632935</v>
      </c>
      <c r="O37" s="192">
        <f t="shared" si="4"/>
        <v>12759.161044228955</v>
      </c>
      <c r="P37" s="183"/>
      <c r="Q37" s="184"/>
      <c r="R37" s="118"/>
      <c r="S37" s="128"/>
      <c r="T37"/>
      <c r="U37" s="118"/>
      <c r="V37" s="178"/>
      <c r="W37" s="17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</row>
    <row r="38" spans="3:36">
      <c r="C38" s="128"/>
      <c r="D38" s="118"/>
      <c r="E38" s="118"/>
      <c r="F38" s="118"/>
      <c r="G38" s="118"/>
      <c r="H38" s="194"/>
      <c r="I38" s="194"/>
      <c r="J38" s="194"/>
      <c r="K38" s="194"/>
      <c r="L38" s="194"/>
      <c r="M38" s="194"/>
      <c r="N38" s="194"/>
      <c r="O38" s="194"/>
      <c r="P38" s="196"/>
      <c r="Q38" s="184"/>
      <c r="R38" s="118"/>
      <c r="S38" s="118"/>
      <c r="T38"/>
      <c r="U38" s="118"/>
      <c r="V38" s="178"/>
      <c r="W38" s="17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</row>
    <row r="39" spans="3:36">
      <c r="C39" s="128" t="s">
        <v>297</v>
      </c>
      <c r="D39" s="118"/>
      <c r="E39" s="118"/>
      <c r="F39" s="118"/>
      <c r="G39" s="118"/>
      <c r="H39" s="194"/>
      <c r="I39" s="194"/>
      <c r="J39" s="194"/>
      <c r="K39" s="194"/>
      <c r="L39" s="194"/>
      <c r="M39" s="194"/>
      <c r="N39" s="194"/>
      <c r="O39" s="194"/>
      <c r="P39" s="196"/>
      <c r="Q39" s="184"/>
      <c r="R39" s="118"/>
      <c r="S39" s="118"/>
      <c r="T39"/>
      <c r="U39" s="118"/>
      <c r="V39" s="178"/>
      <c r="W39" s="17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</row>
    <row r="40" spans="3:36">
      <c r="C40" s="136" t="s">
        <v>298</v>
      </c>
      <c r="D40" s="118"/>
      <c r="E40" s="118"/>
      <c r="F40" s="197">
        <f>'Ford Motor Co | Cash Flow '!F25</f>
        <v>9280</v>
      </c>
      <c r="G40" s="197">
        <f>'Ford Motor Co | Cash Flow '!E25</f>
        <v>9689</v>
      </c>
      <c r="H40" s="197">
        <f>'Ford Motor Co | Cash Flow '!D25</f>
        <v>8751</v>
      </c>
      <c r="I40" s="197">
        <f>'Ford Motor Co | Cash Flow '!C25</f>
        <v>7318</v>
      </c>
      <c r="J40" s="197">
        <f>'Ford Motor Co | Cash Flow '!B25</f>
        <v>7642</v>
      </c>
      <c r="K40" s="195">
        <v>6317.8043699999998</v>
      </c>
      <c r="L40" s="195">
        <v>7735.6109299999998</v>
      </c>
      <c r="M40" s="195">
        <v>7450.1598899999999</v>
      </c>
      <c r="N40" s="195">
        <v>7814</v>
      </c>
      <c r="O40" s="195">
        <v>8060</v>
      </c>
      <c r="P40" s="196"/>
      <c r="Q40" s="184"/>
      <c r="R40" s="118"/>
      <c r="S40" s="118"/>
      <c r="T40"/>
      <c r="U40" s="118"/>
      <c r="V40" s="178"/>
      <c r="W40" s="17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</row>
    <row r="41" spans="3:36">
      <c r="C41" s="198" t="s">
        <v>299</v>
      </c>
      <c r="D41" s="118"/>
      <c r="E41" s="154"/>
      <c r="F41" s="186">
        <f>+F40/F29</f>
        <v>5.7877733288428199E-2</v>
      </c>
      <c r="G41" s="186">
        <f>+G40/G29</f>
        <v>6.2148813341885822E-2</v>
      </c>
      <c r="H41" s="186">
        <f>+H40/H29</f>
        <v>6.88274712137419E-2</v>
      </c>
      <c r="I41" s="186">
        <f>+I40/I29</f>
        <v>5.367424325771411E-2</v>
      </c>
      <c r="J41" s="186">
        <f>+J40/J29</f>
        <v>4.8349646013779841E-2</v>
      </c>
      <c r="K41" s="187">
        <f>AVERAGE(H41:J41)</f>
        <v>5.6950453495078622E-2</v>
      </c>
      <c r="L41" s="187">
        <f t="shared" ref="L41:O41" si="5">AVERAGE(I41:K41)</f>
        <v>5.2991447588857522E-2</v>
      </c>
      <c r="M41" s="187">
        <f t="shared" si="5"/>
        <v>5.2763849032571995E-2</v>
      </c>
      <c r="N41" s="187">
        <f t="shared" si="5"/>
        <v>5.4235250038836051E-2</v>
      </c>
      <c r="O41" s="187">
        <f t="shared" si="5"/>
        <v>5.3330182220088528E-2</v>
      </c>
      <c r="P41" s="196"/>
      <c r="Q41" s="184"/>
      <c r="R41" s="118"/>
      <c r="S41" s="118"/>
      <c r="T41"/>
      <c r="U41" s="118"/>
      <c r="V41" s="189"/>
      <c r="W41" s="190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</row>
    <row r="42" spans="3:36">
      <c r="C42" s="136" t="s">
        <v>300</v>
      </c>
      <c r="D42" s="118"/>
      <c r="E42" s="118"/>
      <c r="F42" s="197">
        <f>'Ford Motor Co | Cash Flow '!F27</f>
        <v>-197</v>
      </c>
      <c r="G42" s="197">
        <f>'Ford Motor Co | Cash Flow '!E27</f>
        <v>-1370</v>
      </c>
      <c r="H42" s="197">
        <f>'Ford Motor Co | Cash Flow '!D27</f>
        <v>-269</v>
      </c>
      <c r="I42" s="197">
        <f>'Ford Motor Co | Cash Flow '!C27</f>
        <v>-563</v>
      </c>
      <c r="J42" s="197">
        <f>'Ford Motor Co | Cash Flow '!B27</f>
        <v>-1910</v>
      </c>
      <c r="K42" s="195">
        <f>-K43*K35</f>
        <v>127.1800092807964</v>
      </c>
      <c r="L42" s="195">
        <f>-L43*L35</f>
        <v>150.65768282211087</v>
      </c>
      <c r="M42" s="195">
        <f>-M43*M35</f>
        <v>153.1135026347205</v>
      </c>
      <c r="N42" s="195">
        <f>-N43*N35</f>
        <v>162.04920214350125</v>
      </c>
      <c r="O42" s="195">
        <f>-O43*O35</f>
        <v>162.34057691913961</v>
      </c>
      <c r="P42" s="199"/>
      <c r="Q42" s="184"/>
      <c r="R42" s="118"/>
      <c r="S42" s="118"/>
      <c r="T42"/>
      <c r="U42" s="118"/>
      <c r="V42" s="178"/>
      <c r="W42" s="17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</row>
    <row r="43" spans="3:36">
      <c r="C43" s="198" t="s">
        <v>301</v>
      </c>
      <c r="D43" s="118"/>
      <c r="E43" s="118"/>
      <c r="F43" s="186">
        <f>+F42/'Ford Motor Co | Income Statemen'!G51</f>
        <v>-0.25485122897800777</v>
      </c>
      <c r="G43" s="186">
        <f>+G42/'Ford Motor Co | Income Statemen'!F51</f>
        <v>1.6727716727716728</v>
      </c>
      <c r="H43" s="186">
        <f>+H42/'Ford Motor Co | Income Statemen'!E51</f>
        <v>-1.6812499999999999</v>
      </c>
      <c r="I43" s="186">
        <f>+I42/'Ford Motor Co | Income Statemen'!D51</f>
        <v>4.3307692307692305</v>
      </c>
      <c r="J43" s="186">
        <f>+J42/'Ford Motor Co | Income Statemen'!C51</f>
        <v>2.2106481481481484</v>
      </c>
      <c r="K43" s="187">
        <v>0.05</v>
      </c>
      <c r="L43" s="187">
        <v>0.05</v>
      </c>
      <c r="M43" s="187">
        <v>0.05</v>
      </c>
      <c r="N43" s="187">
        <v>0.05</v>
      </c>
      <c r="O43" s="187">
        <v>0.05</v>
      </c>
      <c r="P43" s="199"/>
      <c r="Q43" s="184"/>
      <c r="R43" s="118"/>
      <c r="S43" s="118"/>
      <c r="T43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 spans="3:36">
      <c r="C44" s="200" t="s">
        <v>302</v>
      </c>
      <c r="D44" s="201"/>
      <c r="E44" s="201"/>
      <c r="F44" s="201"/>
      <c r="G44" s="201"/>
      <c r="H44" s="202">
        <f>+H42+H40</f>
        <v>8482</v>
      </c>
      <c r="I44" s="202">
        <f t="shared" ref="I44:O44" si="6">+I42+I40</f>
        <v>6755</v>
      </c>
      <c r="J44" s="202">
        <f t="shared" si="6"/>
        <v>5732</v>
      </c>
      <c r="K44" s="202">
        <f t="shared" si="6"/>
        <v>6444.984379280796</v>
      </c>
      <c r="L44" s="202">
        <f t="shared" si="6"/>
        <v>7886.2686128221103</v>
      </c>
      <c r="M44" s="202">
        <f t="shared" si="6"/>
        <v>7603.27339263472</v>
      </c>
      <c r="N44" s="202">
        <f t="shared" si="6"/>
        <v>7976.0492021435011</v>
      </c>
      <c r="O44" s="202">
        <f t="shared" si="6"/>
        <v>8222.3405769191395</v>
      </c>
      <c r="P44" s="196"/>
      <c r="Q44" s="184"/>
      <c r="R44" s="118"/>
      <c r="S44" s="118"/>
      <c r="T44"/>
      <c r="U44" s="118"/>
      <c r="V44" s="118"/>
      <c r="W44" s="118"/>
      <c r="X44" s="118"/>
    </row>
    <row r="45" spans="3:36">
      <c r="C45" s="136"/>
      <c r="D45" s="118"/>
      <c r="E45" s="118"/>
      <c r="F45" s="118"/>
      <c r="G45" s="118"/>
      <c r="H45" s="203"/>
      <c r="I45" s="203"/>
      <c r="J45" s="203"/>
      <c r="K45" s="203"/>
      <c r="L45" s="194"/>
      <c r="M45" s="194"/>
      <c r="N45" s="194"/>
      <c r="O45" s="194"/>
      <c r="P45" s="196"/>
      <c r="Q45" s="184"/>
      <c r="R45" s="118"/>
      <c r="S45" s="118"/>
      <c r="T45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 spans="3:36">
      <c r="C46" s="128" t="s">
        <v>303</v>
      </c>
      <c r="D46" s="118"/>
      <c r="E46" s="118"/>
      <c r="F46" s="118"/>
      <c r="G46" s="118"/>
      <c r="H46" s="203"/>
      <c r="I46" s="203"/>
      <c r="J46" s="203"/>
      <c r="K46" s="203"/>
      <c r="L46" s="194"/>
      <c r="M46" s="194"/>
      <c r="N46" s="194"/>
      <c r="O46" s="194"/>
      <c r="P46" s="196"/>
      <c r="Q46" s="184"/>
      <c r="R46" s="118"/>
      <c r="S46" s="118"/>
      <c r="T46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 spans="3:36">
      <c r="C47" s="136" t="s">
        <v>304</v>
      </c>
      <c r="D47" s="118"/>
      <c r="E47" s="118"/>
      <c r="F47" s="197">
        <f>'Ford Motor Co | Cash Flow '!F33</f>
        <v>-2239</v>
      </c>
      <c r="G47" s="197">
        <f>'Ford Motor Co | Cash Flow '!E33</f>
        <v>738</v>
      </c>
      <c r="H47" s="197">
        <f>'Ford Motor Co | Cash Flow '!D33</f>
        <v>12041</v>
      </c>
      <c r="I47" s="197">
        <f>'Ford Motor Co | Cash Flow '!C33</f>
        <v>6515</v>
      </c>
      <c r="J47" s="197">
        <f>'Ford Motor Co | Cash Flow '!B33</f>
        <v>-11743</v>
      </c>
      <c r="K47" s="203"/>
      <c r="L47" s="194"/>
      <c r="M47" s="194"/>
      <c r="N47" s="194"/>
      <c r="O47" s="194"/>
      <c r="P47" s="196"/>
      <c r="Q47" s="184"/>
      <c r="R47" s="118"/>
      <c r="S47" s="118"/>
      <c r="T47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</row>
    <row r="48" spans="3:36">
      <c r="C48" s="136" t="s">
        <v>305</v>
      </c>
      <c r="D48" s="118"/>
      <c r="E48" s="118"/>
      <c r="F48" s="197">
        <f>'Ford Motor Co | Cash Flow '!F34</f>
        <v>-828</v>
      </c>
      <c r="G48" s="197">
        <f>'Ford Motor Co | Cash Flow '!E34</f>
        <v>206</v>
      </c>
      <c r="H48" s="197">
        <f>'Ford Motor Co | Cash Flow '!D34</f>
        <v>148</v>
      </c>
      <c r="I48" s="197">
        <f>'Ford Motor Co | Cash Flow '!C34</f>
        <v>-1778</v>
      </c>
      <c r="J48" s="197">
        <f>'Ford Motor Co | Cash Flow '!B34</f>
        <v>-2576</v>
      </c>
      <c r="K48" s="203"/>
      <c r="L48" s="194"/>
      <c r="M48" s="194"/>
      <c r="N48" s="194"/>
      <c r="O48" s="194"/>
      <c r="P48" s="196"/>
      <c r="Q48" s="184"/>
      <c r="R48" s="118"/>
      <c r="S48" s="118"/>
      <c r="T4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</row>
    <row r="49" spans="1:36">
      <c r="C49" s="136" t="s">
        <v>306</v>
      </c>
      <c r="D49" s="118"/>
      <c r="E49" s="118"/>
      <c r="F49" s="197">
        <f>'Ford Motor Co | Cash Flow '!F35</f>
        <v>6781</v>
      </c>
      <c r="G49" s="197">
        <f>'Ford Motor Co | Cash Flow '!E35</f>
        <v>5260</v>
      </c>
      <c r="H49" s="197">
        <f>'Ford Motor Co | Cash Flow '!D35</f>
        <v>6809</v>
      </c>
      <c r="I49" s="197">
        <f>'Ford Motor Co | Cash Flow '!C35</f>
        <v>-36</v>
      </c>
      <c r="J49" s="197">
        <f>'Ford Motor Co | Cash Flow '!B35</f>
        <v>7268</v>
      </c>
      <c r="K49" s="203"/>
      <c r="L49" s="194"/>
      <c r="M49" s="194"/>
      <c r="N49" s="194"/>
      <c r="O49" s="194"/>
      <c r="P49" s="196"/>
      <c r="Q49" s="184"/>
      <c r="R49" s="118"/>
      <c r="S49" s="118"/>
      <c r="T49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</row>
    <row r="50" spans="1:36">
      <c r="C50" s="136" t="s">
        <v>307</v>
      </c>
      <c r="D50" s="118"/>
      <c r="E50" s="118"/>
      <c r="F50" s="197">
        <f>'Ford Motor Co | Cash Flow '!F36</f>
        <v>17</v>
      </c>
      <c r="G50" s="197">
        <f>'Ford Motor Co | Cash Flow '!E36</f>
        <v>41</v>
      </c>
      <c r="H50" s="197">
        <f>'Ford Motor Co | Cash Flow '!D36</f>
        <v>-242</v>
      </c>
      <c r="I50" s="197">
        <f>'Ford Motor Co | Cash Flow '!C36</f>
        <v>-234</v>
      </c>
      <c r="J50" s="197">
        <f>'Ford Motor Co | Cash Flow '!B36</f>
        <v>436</v>
      </c>
      <c r="K50" s="203"/>
      <c r="L50" s="194"/>
      <c r="M50" s="194"/>
      <c r="N50" s="194"/>
      <c r="O50" s="194"/>
      <c r="P50" s="196"/>
      <c r="Q50" s="184"/>
      <c r="R50" s="118"/>
      <c r="S50" s="118"/>
      <c r="T50"/>
      <c r="U50" s="118"/>
      <c r="V50" s="118"/>
      <c r="W50" s="118"/>
      <c r="X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</row>
    <row r="51" spans="1:36">
      <c r="C51" s="200" t="s">
        <v>308</v>
      </c>
      <c r="D51" s="201"/>
      <c r="E51" s="201"/>
      <c r="F51" s="202">
        <f>SUM(F47:F50)</f>
        <v>3731</v>
      </c>
      <c r="G51" s="202">
        <f>SUM(G47:G50)</f>
        <v>6245</v>
      </c>
      <c r="H51" s="202">
        <f>SUM(H47:H50)</f>
        <v>18756</v>
      </c>
      <c r="I51" s="202">
        <f>SUM(I47:I50)</f>
        <v>4467</v>
      </c>
      <c r="J51" s="202">
        <f>SUM(J47:J50)</f>
        <v>-6615</v>
      </c>
      <c r="K51" s="202">
        <f>+K52*(K29-J29)</f>
        <v>1112.5936005503293</v>
      </c>
      <c r="L51" s="202">
        <f>+L52*(L29-K29)</f>
        <v>918.5346010368155</v>
      </c>
      <c r="M51" s="202">
        <f>+M52*(M29-L29)</f>
        <v>170.4193307538896</v>
      </c>
      <c r="N51" s="202">
        <f>+N52*(N29-M29)</f>
        <v>760.20579864660044</v>
      </c>
      <c r="O51" s="202">
        <f>+O52*(O29-N29)</f>
        <v>41.479302507573934</v>
      </c>
      <c r="P51" s="196"/>
      <c r="Q51" s="118"/>
      <c r="R51" s="118"/>
      <c r="S51" s="118"/>
      <c r="T51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</row>
    <row r="52" spans="1:36">
      <c r="C52" s="136" t="s">
        <v>309</v>
      </c>
      <c r="D52" s="118"/>
      <c r="E52" s="118"/>
      <c r="F52" s="186">
        <f>+F51/(F29-9539)</f>
        <v>2.4741543378934874E-2</v>
      </c>
      <c r="G52" s="186">
        <f>+G51/(G29-9539)</f>
        <v>4.2668470425864816E-2</v>
      </c>
      <c r="H52" s="186">
        <f>+H51/(H29-9539)</f>
        <v>0.1594830151779261</v>
      </c>
      <c r="I52" s="186">
        <f>+I51/(I29-H29)</f>
        <v>0.48570185930194626</v>
      </c>
      <c r="J52" s="186">
        <f>+J51/(J29-I29)</f>
        <v>-0.30461410941241479</v>
      </c>
      <c r="K52" s="187">
        <f>AVERAGE(F52:J52)</f>
        <v>8.1596155774451437E-2</v>
      </c>
      <c r="L52" s="187">
        <f t="shared" ref="L52:O52" si="7">AVERAGE(G52:K52)</f>
        <v>9.2967078253554755E-2</v>
      </c>
      <c r="M52" s="187">
        <f t="shared" si="7"/>
        <v>0.10302679981909275</v>
      </c>
      <c r="N52" s="187">
        <f t="shared" si="7"/>
        <v>9.1735556747326086E-2</v>
      </c>
      <c r="O52" s="187">
        <f t="shared" si="7"/>
        <v>1.2942296236402053E-2</v>
      </c>
      <c r="P52" s="154"/>
      <c r="Q52" s="118"/>
      <c r="R52" s="118"/>
      <c r="S52" s="118"/>
      <c r="T52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</row>
    <row r="53" spans="1:36">
      <c r="C53" s="185" t="s">
        <v>299</v>
      </c>
      <c r="D53" s="118"/>
      <c r="E53" s="118"/>
      <c r="F53" s="186">
        <f t="shared" ref="F53:O53" si="8">+F51/F29</f>
        <v>2.3269592984819568E-2</v>
      </c>
      <c r="G53" s="186">
        <f t="shared" si="8"/>
        <v>4.0057729313662603E-2</v>
      </c>
      <c r="H53" s="186">
        <f t="shared" si="8"/>
        <v>0.14751777512112252</v>
      </c>
      <c r="I53" s="186">
        <f t="shared" si="8"/>
        <v>3.276343873082932E-2</v>
      </c>
      <c r="J53" s="186">
        <f t="shared" si="8"/>
        <v>-4.1851990104835597E-2</v>
      </c>
      <c r="K53" s="186">
        <f t="shared" si="8"/>
        <v>6.4801575886564589E-3</v>
      </c>
      <c r="L53" s="186">
        <f t="shared" si="8"/>
        <v>5.0587737039518204E-3</v>
      </c>
      <c r="M53" s="186">
        <f t="shared" si="8"/>
        <v>9.3010092690780507E-4</v>
      </c>
      <c r="N53" s="186">
        <f t="shared" si="8"/>
        <v>3.9694604627333561E-3</v>
      </c>
      <c r="O53" s="186">
        <f t="shared" si="8"/>
        <v>2.1302180532034766E-4</v>
      </c>
      <c r="P53" s="194"/>
      <c r="Q53" s="118"/>
      <c r="R53" s="118"/>
      <c r="S53" s="118"/>
      <c r="T53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</row>
    <row r="54" spans="1:36">
      <c r="C54" s="136"/>
      <c r="D54" s="118"/>
      <c r="E54" s="118"/>
      <c r="F54" s="118"/>
      <c r="G54" s="118"/>
      <c r="H54" s="118"/>
      <c r="I54" s="118"/>
      <c r="J54" s="118"/>
      <c r="K54" s="194"/>
      <c r="L54" s="194"/>
      <c r="M54" s="194"/>
      <c r="N54" s="194"/>
      <c r="O54" s="194"/>
      <c r="P54" s="194"/>
      <c r="Q54" s="118"/>
      <c r="R54" s="118"/>
      <c r="S54" s="128"/>
      <c r="T54"/>
      <c r="U54" s="118"/>
      <c r="V54" s="118"/>
      <c r="W54" s="118"/>
      <c r="X54" s="118"/>
      <c r="Y54" s="204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</row>
    <row r="55" spans="1:36">
      <c r="C55" s="118" t="s">
        <v>310</v>
      </c>
      <c r="D55" s="118"/>
      <c r="E55" s="118"/>
      <c r="F55" s="205">
        <f>'Ford Motor Co | Cash Flow '!F40</f>
        <v>-7785</v>
      </c>
      <c r="G55" s="205">
        <f>'Ford Motor Co | Cash Flow '!E40</f>
        <v>-7632</v>
      </c>
      <c r="H55" s="205">
        <f>'Ford Motor Co | Cash Flow '!D40</f>
        <v>-5742</v>
      </c>
      <c r="I55" s="205">
        <f>'Ford Motor Co | Cash Flow '!C40</f>
        <v>-6227</v>
      </c>
      <c r="J55" s="205">
        <f>'Ford Motor Co | Cash Flow '!B40</f>
        <v>-6866</v>
      </c>
      <c r="K55" s="195">
        <f>-K56*K29</f>
        <v>-7959.0333241656808</v>
      </c>
      <c r="L55" s="195">
        <f>-L56*L29</f>
        <v>-8337.2494716329275</v>
      </c>
      <c r="M55" s="195">
        <f>-M56*M29</f>
        <v>-8301.8893434601305</v>
      </c>
      <c r="N55" s="195">
        <f>-N56*N29</f>
        <v>-8683.0333948526659</v>
      </c>
      <c r="O55" s="195">
        <f>-O56*O29</f>
        <v>-8815.3635950524003</v>
      </c>
      <c r="P55" s="206"/>
      <c r="Q55" s="184"/>
      <c r="R55" s="118"/>
      <c r="S55" s="118"/>
      <c r="T55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</row>
    <row r="56" spans="1:36">
      <c r="C56" s="136" t="s">
        <v>299</v>
      </c>
      <c r="D56" s="118"/>
      <c r="E56" s="118"/>
      <c r="F56" s="186">
        <f>-F55/F29</f>
        <v>4.8553680350260073E-2</v>
      </c>
      <c r="G56" s="186">
        <f>-G55/G29</f>
        <v>4.8954457985888392E-2</v>
      </c>
      <c r="H56" s="186">
        <f>-H55/H29</f>
        <v>4.5161391807714085E-2</v>
      </c>
      <c r="I56" s="186">
        <f>-I55/I29</f>
        <v>4.5672248259877805E-2</v>
      </c>
      <c r="J56" s="186">
        <f>-J55/J29</f>
        <v>4.3440024801179318E-2</v>
      </c>
      <c r="K56" s="187">
        <f>AVERAGE(F56:J56)</f>
        <v>4.6356360640983932E-2</v>
      </c>
      <c r="L56" s="187">
        <f t="shared" ref="L56:O56" si="9">AVERAGE(G56:K56)</f>
        <v>4.5916896699128705E-2</v>
      </c>
      <c r="M56" s="187">
        <f t="shared" si="9"/>
        <v>4.5309384441776776E-2</v>
      </c>
      <c r="N56" s="187">
        <f t="shared" si="9"/>
        <v>4.5338982968589306E-2</v>
      </c>
      <c r="O56" s="187">
        <f t="shared" si="9"/>
        <v>4.5272329910331609E-2</v>
      </c>
      <c r="P56" s="206"/>
      <c r="Q56" s="118"/>
      <c r="R56" s="118"/>
      <c r="S56" s="118"/>
      <c r="T56"/>
      <c r="U56" s="118"/>
      <c r="V56" s="154"/>
      <c r="W56" s="207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</row>
    <row r="57" spans="1:36">
      <c r="C57" s="128"/>
      <c r="D57" s="118"/>
      <c r="E57" s="118"/>
      <c r="F57" s="118"/>
      <c r="G57" s="118"/>
      <c r="H57" s="203"/>
      <c r="I57" s="203"/>
      <c r="J57" s="203"/>
      <c r="K57" s="194"/>
      <c r="L57" s="194"/>
      <c r="M57" s="194"/>
      <c r="N57" s="194"/>
      <c r="O57" s="194"/>
      <c r="P57" s="196"/>
      <c r="Q57" s="118"/>
      <c r="R57" s="118"/>
      <c r="S57" s="128"/>
      <c r="T57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</row>
    <row r="58" spans="1:36">
      <c r="C58" s="171" t="s">
        <v>311</v>
      </c>
      <c r="D58" s="171"/>
      <c r="E58" s="171"/>
      <c r="F58" s="208">
        <f t="shared" ref="F58:O58" si="10">+F37+F44+F51+F55</f>
        <v>-1500.7285499999998</v>
      </c>
      <c r="G58" s="208">
        <f t="shared" si="10"/>
        <v>-973.2791500000003</v>
      </c>
      <c r="H58" s="208">
        <f t="shared" si="10"/>
        <v>17981.36565</v>
      </c>
      <c r="I58" s="208">
        <f t="shared" si="10"/>
        <v>7243.7601500000001</v>
      </c>
      <c r="J58" s="208">
        <f t="shared" si="10"/>
        <v>-2842.5417500000003</v>
      </c>
      <c r="K58" s="208">
        <f t="shared" si="10"/>
        <v>9594.2601496942189</v>
      </c>
      <c r="L58" s="208">
        <f t="shared" si="10"/>
        <v>12308.497480125501</v>
      </c>
      <c r="M58" s="208">
        <f t="shared" si="10"/>
        <v>11505.762327453001</v>
      </c>
      <c r="N58" s="208">
        <f t="shared" si="10"/>
        <v>12789.482043570368</v>
      </c>
      <c r="O58" s="208">
        <f t="shared" si="10"/>
        <v>12207.617328603268</v>
      </c>
      <c r="P58" s="183"/>
      <c r="Q58" s="118"/>
      <c r="R58" s="118"/>
      <c r="S58" s="118"/>
      <c r="T58"/>
      <c r="U58" s="118"/>
      <c r="V58" s="118"/>
      <c r="W58" s="118"/>
      <c r="X58" s="12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</row>
    <row r="59" spans="1:36">
      <c r="A59" s="118"/>
      <c r="B59" s="118"/>
      <c r="C59" s="185" t="s">
        <v>294</v>
      </c>
      <c r="D59" s="118"/>
      <c r="E59" s="118"/>
      <c r="F59" s="186" t="str">
        <f t="shared" ref="F59:O59" si="11">IFERROR(+F58/E58-1,"N/A")</f>
        <v>N/A</v>
      </c>
      <c r="G59" s="186">
        <f t="shared" si="11"/>
        <v>-0.35146222812913075</v>
      </c>
      <c r="H59" s="186">
        <f t="shared" si="11"/>
        <v>-19.475034269459069</v>
      </c>
      <c r="I59" s="186">
        <f t="shared" si="11"/>
        <v>-0.59715183535016991</v>
      </c>
      <c r="J59" s="186">
        <f t="shared" si="11"/>
        <v>-1.3924124613651103</v>
      </c>
      <c r="K59" s="186">
        <f t="shared" si="11"/>
        <v>-4.3752398358596558</v>
      </c>
      <c r="L59" s="186">
        <f t="shared" si="11"/>
        <v>0.28290220278400402</v>
      </c>
      <c r="M59" s="186">
        <f t="shared" si="11"/>
        <v>-6.5217964578428322E-2</v>
      </c>
      <c r="N59" s="186">
        <f t="shared" si="11"/>
        <v>0.11157189585381788</v>
      </c>
      <c r="O59" s="186">
        <f t="shared" si="11"/>
        <v>-4.5495565260957438E-2</v>
      </c>
      <c r="P59" s="118"/>
      <c r="Q59" s="118"/>
      <c r="R59" s="118"/>
      <c r="S59" s="118"/>
      <c r="T59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</row>
    <row r="60" spans="1:36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209"/>
      <c r="L60" s="209"/>
      <c r="M60" s="209"/>
      <c r="N60" s="209"/>
      <c r="O60" s="209"/>
      <c r="Q60" s="118"/>
      <c r="R60" s="118"/>
      <c r="S60" s="118"/>
      <c r="T60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</row>
    <row r="61" spans="1:36">
      <c r="A61" s="118"/>
      <c r="B61" s="118"/>
      <c r="C61" s="210" t="s">
        <v>312</v>
      </c>
      <c r="D61" s="210"/>
      <c r="E61" s="210"/>
      <c r="F61" s="211">
        <f t="shared" ref="F61:O61" si="12">+F31+F40</f>
        <v>12483</v>
      </c>
      <c r="G61" s="211">
        <f t="shared" si="12"/>
        <v>10208</v>
      </c>
      <c r="H61" s="211">
        <f t="shared" si="12"/>
        <v>4342</v>
      </c>
      <c r="I61" s="211">
        <f t="shared" si="12"/>
        <v>10139</v>
      </c>
      <c r="J61" s="211">
        <f t="shared" si="12"/>
        <v>13797</v>
      </c>
      <c r="K61" s="211">
        <f t="shared" si="12"/>
        <v>18857.120049644705</v>
      </c>
      <c r="L61" s="211">
        <f t="shared" si="12"/>
        <v>22589.708324341718</v>
      </c>
      <c r="M61" s="211">
        <f t="shared" si="12"/>
        <v>22546.388890218932</v>
      </c>
      <c r="N61" s="211">
        <f t="shared" si="12"/>
        <v>23791.244480502959</v>
      </c>
      <c r="O61" s="211">
        <f t="shared" si="12"/>
        <v>24065.972582611746</v>
      </c>
      <c r="P61" s="183"/>
      <c r="Q61" s="118"/>
      <c r="R61" s="118"/>
      <c r="S61" s="118"/>
      <c r="T61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</row>
    <row r="62" spans="1:36">
      <c r="A62" s="118"/>
      <c r="B62" s="118"/>
      <c r="C62" s="185" t="s">
        <v>294</v>
      </c>
      <c r="F62" s="186" t="str">
        <f t="shared" ref="F62:O62" si="13">IFERROR(+F61/E61-1,"N/A")</f>
        <v>N/A</v>
      </c>
      <c r="G62" s="186">
        <f t="shared" si="13"/>
        <v>-0.18224785708563651</v>
      </c>
      <c r="H62" s="186">
        <f t="shared" si="13"/>
        <v>-0.57464733542319757</v>
      </c>
      <c r="I62" s="186">
        <f t="shared" si="13"/>
        <v>1.3350990327038232</v>
      </c>
      <c r="J62" s="186">
        <f t="shared" si="13"/>
        <v>0.36078508728671466</v>
      </c>
      <c r="K62" s="186">
        <f t="shared" si="13"/>
        <v>0.36675509528482308</v>
      </c>
      <c r="L62" s="186">
        <f t="shared" si="13"/>
        <v>0.19794052670133677</v>
      </c>
      <c r="M62" s="186">
        <f t="shared" si="13"/>
        <v>-1.9176623930158287E-3</v>
      </c>
      <c r="N62" s="186">
        <f t="shared" si="13"/>
        <v>5.521308074412179E-2</v>
      </c>
      <c r="O62" s="186">
        <f t="shared" si="13"/>
        <v>1.1547445630005981E-2</v>
      </c>
      <c r="P62" s="118"/>
      <c r="Q62" s="118"/>
      <c r="R62" s="118"/>
      <c r="S62" s="118"/>
      <c r="T62"/>
      <c r="U62" s="118"/>
      <c r="V62" s="118"/>
      <c r="W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</row>
    <row r="63" spans="1:36">
      <c r="R63" s="118"/>
      <c r="S63" s="118"/>
      <c r="T63"/>
      <c r="U63" s="118"/>
      <c r="V63" s="118"/>
      <c r="W63" s="118"/>
      <c r="Y63" s="12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</row>
    <row r="64" spans="1:36">
      <c r="P64" s="118"/>
      <c r="Q64" s="118"/>
      <c r="S64" s="118"/>
      <c r="T64" s="118"/>
      <c r="U64" s="118"/>
      <c r="W64" s="118"/>
    </row>
    <row r="65" spans="3:32">
      <c r="C65" s="212" t="s">
        <v>313</v>
      </c>
      <c r="D65" s="213"/>
      <c r="E65" s="213"/>
      <c r="F65" s="123"/>
      <c r="G65" s="123"/>
      <c r="H65" s="123"/>
      <c r="I65" s="123"/>
      <c r="J65" s="123"/>
      <c r="K65" s="123"/>
      <c r="L65" s="123"/>
      <c r="M65" s="123"/>
      <c r="P65" s="118"/>
      <c r="Q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</row>
    <row r="66" spans="3:32">
      <c r="C66" s="213"/>
      <c r="D66" s="213"/>
      <c r="E66" s="213"/>
      <c r="F66" s="123"/>
      <c r="G66" s="123"/>
      <c r="H66" s="123"/>
      <c r="I66" s="123"/>
      <c r="J66" s="123"/>
      <c r="K66" s="123"/>
      <c r="L66" s="123"/>
      <c r="M66" s="123"/>
      <c r="P66" s="118"/>
      <c r="Q66" s="118"/>
      <c r="S66" s="118"/>
      <c r="T66" s="118"/>
      <c r="U66" s="118"/>
      <c r="V66" s="118"/>
      <c r="W66" s="128"/>
      <c r="X66" s="118"/>
      <c r="Y66" s="118"/>
      <c r="Z66" s="118"/>
      <c r="AA66" s="118"/>
      <c r="AB66" s="118"/>
      <c r="AC66" s="118"/>
      <c r="AD66" s="118"/>
      <c r="AE66" s="118"/>
      <c r="AF66" s="118"/>
    </row>
    <row r="67" spans="3:32">
      <c r="C67" s="214"/>
      <c r="D67" s="215"/>
      <c r="E67" s="216" t="s">
        <v>314</v>
      </c>
      <c r="F67" s="216"/>
      <c r="G67" s="216"/>
      <c r="H67" s="216"/>
      <c r="I67" s="216"/>
      <c r="J67" s="216"/>
      <c r="K67" s="216"/>
      <c r="L67" s="216"/>
      <c r="M67" s="217"/>
      <c r="P67" s="218"/>
      <c r="Q67" s="218"/>
      <c r="S67" s="219"/>
      <c r="T67" s="219"/>
      <c r="U67" s="219"/>
      <c r="V67" s="118"/>
      <c r="X67" s="118"/>
      <c r="Y67" s="118"/>
      <c r="Z67" s="118"/>
      <c r="AA67" s="118"/>
      <c r="AB67" s="118"/>
      <c r="AC67" s="118"/>
      <c r="AD67" s="118"/>
      <c r="AE67" s="118"/>
      <c r="AF67" s="118"/>
    </row>
    <row r="68" spans="3:32">
      <c r="C68" s="220"/>
      <c r="D68" s="221">
        <f>P22</f>
        <v>26.255613485951702</v>
      </c>
      <c r="E68" s="222">
        <v>0</v>
      </c>
      <c r="F68" s="222">
        <f t="shared" ref="F68:M68" si="14">+E68+0.5%</f>
        <v>5.0000000000000001E-3</v>
      </c>
      <c r="G68" s="223">
        <f t="shared" si="14"/>
        <v>0.01</v>
      </c>
      <c r="H68" s="223">
        <f t="shared" si="14"/>
        <v>1.4999999999999999E-2</v>
      </c>
      <c r="I68" s="223">
        <f t="shared" si="14"/>
        <v>0.02</v>
      </c>
      <c r="J68" s="223">
        <f t="shared" si="14"/>
        <v>2.5000000000000001E-2</v>
      </c>
      <c r="K68" s="223">
        <f t="shared" si="14"/>
        <v>3.0000000000000002E-2</v>
      </c>
      <c r="L68" s="223">
        <f t="shared" si="14"/>
        <v>3.5000000000000003E-2</v>
      </c>
      <c r="M68" s="224">
        <f t="shared" si="14"/>
        <v>0.04</v>
      </c>
      <c r="N68" s="225"/>
      <c r="P68" s="226"/>
      <c r="Q68" s="218"/>
      <c r="S68" s="227"/>
      <c r="T68" s="227"/>
      <c r="U68" s="228"/>
      <c r="V68" s="118"/>
      <c r="W68" s="128"/>
      <c r="X68" s="118"/>
      <c r="Y68" s="118"/>
      <c r="Z68" s="118"/>
      <c r="AA68" s="118"/>
      <c r="AB68" s="118"/>
      <c r="AC68" s="118"/>
      <c r="AD68" s="118"/>
      <c r="AE68" s="118"/>
      <c r="AF68" s="118"/>
    </row>
    <row r="69" spans="3:32" ht="14.45" customHeight="1">
      <c r="C69" s="364" t="s">
        <v>274</v>
      </c>
      <c r="D69" s="222">
        <f>D70-0.5%</f>
        <v>6.4999999999999988E-2</v>
      </c>
      <c r="E69" s="229">
        <f t="dataTable" ref="E69:M77" dt2D="1" dtr="1" r1="F20" r2="F12" ca="1"/>
        <v>22.587529050255704</v>
      </c>
      <c r="F69" s="230">
        <v>25.626714675259517</v>
      </c>
      <c r="G69" s="230">
        <v>29.218479504809494</v>
      </c>
      <c r="H69" s="230">
        <v>33.52859730026946</v>
      </c>
      <c r="I69" s="231">
        <v>38.796519050276103</v>
      </c>
      <c r="J69" s="230">
        <v>45.381421237784373</v>
      </c>
      <c r="K69" s="230">
        <v>53.847724050295028</v>
      </c>
      <c r="L69" s="230">
        <v>65.136127800309239</v>
      </c>
      <c r="M69" s="153">
        <v>80.939893050329118</v>
      </c>
      <c r="P69" s="227"/>
      <c r="Q69" s="367"/>
      <c r="S69" s="232"/>
      <c r="T69" s="232"/>
      <c r="U69" s="232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</row>
    <row r="70" spans="3:32">
      <c r="C70" s="365"/>
      <c r="D70" s="222">
        <f>D71-0.5%</f>
        <v>6.9999999999999993E-2</v>
      </c>
      <c r="E70" s="233">
        <v>19.238848775327011</v>
      </c>
      <c r="F70" s="234">
        <v>21.795513369126422</v>
      </c>
      <c r="G70" s="234">
        <v>24.778288728559062</v>
      </c>
      <c r="H70" s="234">
        <v>28.303386880615822</v>
      </c>
      <c r="I70" s="235">
        <v>32.533504663083946</v>
      </c>
      <c r="J70" s="234">
        <v>37.703648619433849</v>
      </c>
      <c r="K70" s="234">
        <v>44.16632856487125</v>
      </c>
      <c r="L70" s="234">
        <v>52.475488494719336</v>
      </c>
      <c r="M70" s="234">
        <v>63.554368401183439</v>
      </c>
      <c r="P70" s="227"/>
      <c r="Q70" s="367"/>
      <c r="S70" s="232"/>
      <c r="T70" s="232"/>
      <c r="U70" s="232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</row>
    <row r="71" spans="3:32">
      <c r="C71" s="365"/>
      <c r="D71" s="222">
        <f>D72-0.5%</f>
        <v>7.4999999999999997E-2</v>
      </c>
      <c r="E71" s="233">
        <v>16.336991098407385</v>
      </c>
      <c r="F71" s="234">
        <v>18.511830057226899</v>
      </c>
      <c r="G71" s="234">
        <v>21.02125962509556</v>
      </c>
      <c r="H71" s="234">
        <v>23.94892745427568</v>
      </c>
      <c r="I71" s="235">
        <v>27.408898525124908</v>
      </c>
      <c r="J71" s="234">
        <v>31.560863810143978</v>
      </c>
      <c r="K71" s="234">
        <v>36.635488047389508</v>
      </c>
      <c r="L71" s="234">
        <v>42.97876834394642</v>
      </c>
      <c r="M71" s="234">
        <v>51.134414439519595</v>
      </c>
      <c r="P71" s="227"/>
      <c r="Q71" s="367"/>
      <c r="S71" s="232"/>
      <c r="T71" s="232"/>
      <c r="U71" s="232"/>
      <c r="V71" s="128"/>
    </row>
    <row r="72" spans="3:32">
      <c r="C72" s="365"/>
      <c r="D72" s="222">
        <f>D73-0.5%</f>
        <v>0.08</v>
      </c>
      <c r="E72" s="233">
        <v>13.798174220721865</v>
      </c>
      <c r="F72" s="234">
        <v>15.666161834466196</v>
      </c>
      <c r="G72" s="234">
        <v>17.801004821602575</v>
      </c>
      <c r="H72" s="234">
        <v>20.264285191375315</v>
      </c>
      <c r="I72" s="235">
        <v>23.138112289443523</v>
      </c>
      <c r="J72" s="234">
        <v>26.534453405342298</v>
      </c>
      <c r="K72" s="234">
        <v>30.610062744420841</v>
      </c>
      <c r="L72" s="234">
        <v>35.591363047739051</v>
      </c>
      <c r="M72" s="234">
        <v>41.817988426886828</v>
      </c>
      <c r="P72" s="227"/>
      <c r="Q72" s="367"/>
      <c r="S72" s="232"/>
      <c r="T72" s="232"/>
      <c r="U72" s="232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</row>
    <row r="73" spans="3:32">
      <c r="C73" s="365"/>
      <c r="D73" s="222">
        <v>8.5000000000000006E-2</v>
      </c>
      <c r="E73" s="236">
        <v>11.558329684847171</v>
      </c>
      <c r="F73" s="235">
        <v>13.176381403444063</v>
      </c>
      <c r="G73" s="235">
        <v>15.010173351187209</v>
      </c>
      <c r="H73" s="235">
        <v>17.105935577179377</v>
      </c>
      <c r="I73" s="235">
        <v>19.524122761016496</v>
      </c>
      <c r="J73" s="235">
        <v>22.3453411421598</v>
      </c>
      <c r="K73" s="235">
        <v>25.679508319874618</v>
      </c>
      <c r="L73" s="235">
        <v>29.680508933132391</v>
      </c>
      <c r="M73" s="235">
        <v>34.570620793780783</v>
      </c>
      <c r="P73" s="227"/>
      <c r="Q73" s="367"/>
      <c r="S73" s="232"/>
      <c r="T73" s="232"/>
      <c r="U73" s="232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</row>
    <row r="74" spans="3:32">
      <c r="C74" s="365"/>
      <c r="D74" s="222">
        <f t="shared" ref="D74:D77" si="15">+D73+0.5%</f>
        <v>9.0000000000000011E-2</v>
      </c>
      <c r="E74" s="233">
        <v>9.5676264496090688</v>
      </c>
      <c r="F74" s="234">
        <v>10.979685431387974</v>
      </c>
      <c r="G74" s="234">
        <v>12.568251785889251</v>
      </c>
      <c r="H74" s="234">
        <v>14.368626987657358</v>
      </c>
      <c r="I74" s="235">
        <v>16.426198646820922</v>
      </c>
      <c r="J74" s="234">
        <v>18.800319792009638</v>
      </c>
      <c r="K74" s="234">
        <v>21.57012779472981</v>
      </c>
      <c r="L74" s="234">
        <v>24.843537252490002</v>
      </c>
      <c r="M74" s="234">
        <v>28.771628601802252</v>
      </c>
      <c r="P74" s="227"/>
      <c r="Q74" s="367"/>
      <c r="S74" s="232"/>
      <c r="T74" s="232"/>
      <c r="U74" s="232"/>
    </row>
    <row r="75" spans="3:32">
      <c r="C75" s="365"/>
      <c r="D75" s="222">
        <f t="shared" si="15"/>
        <v>9.5000000000000015E-2</v>
      </c>
      <c r="E75" s="233">
        <v>7.7867242043052762</v>
      </c>
      <c r="F75" s="234">
        <v>9.0272267878069297</v>
      </c>
      <c r="G75" s="234">
        <v>10.413670851720546</v>
      </c>
      <c r="H75" s="234">
        <v>11.973420423623359</v>
      </c>
      <c r="I75" s="235">
        <v>13.741136605113228</v>
      </c>
      <c r="J75" s="234">
        <v>15.76138366967306</v>
      </c>
      <c r="K75" s="234">
        <v>18.092437974934413</v>
      </c>
      <c r="L75" s="234">
        <v>20.812001331072651</v>
      </c>
      <c r="M75" s="234">
        <v>24.026030751963315</v>
      </c>
      <c r="P75" s="227"/>
      <c r="Q75" s="367"/>
      <c r="S75" s="232"/>
      <c r="T75" s="232"/>
      <c r="U75" s="232"/>
    </row>
    <row r="76" spans="3:32">
      <c r="C76" s="365"/>
      <c r="D76" s="222">
        <f t="shared" si="15"/>
        <v>0.10000000000000002</v>
      </c>
      <c r="E76" s="233">
        <v>6.1841506884991011</v>
      </c>
      <c r="F76" s="234">
        <v>7.2804418647198368</v>
      </c>
      <c r="G76" s="234">
        <v>8.4985431716317681</v>
      </c>
      <c r="H76" s="234">
        <v>9.8599505146509827</v>
      </c>
      <c r="I76" s="235">
        <v>11.391533775547606</v>
      </c>
      <c r="J76" s="234">
        <v>13.127328137897104</v>
      </c>
      <c r="K76" s="234">
        <v>15.111093123439391</v>
      </c>
      <c r="L76" s="234">
        <v>17.400052722142025</v>
      </c>
      <c r="M76" s="234">
        <v>20.070505587295106</v>
      </c>
      <c r="P76" s="227"/>
      <c r="Q76" s="367"/>
      <c r="S76" s="232"/>
      <c r="T76" s="232"/>
      <c r="U76" s="232"/>
    </row>
    <row r="77" spans="3:32">
      <c r="C77" s="366"/>
      <c r="D77" s="237">
        <f t="shared" si="15"/>
        <v>0.10500000000000002</v>
      </c>
      <c r="E77" s="233">
        <v>4.734428348869689</v>
      </c>
      <c r="F77" s="234">
        <v>5.7084797005714636</v>
      </c>
      <c r="G77" s="234">
        <v>6.7850627735050102</v>
      </c>
      <c r="H77" s="234">
        <v>7.9812661878756064</v>
      </c>
      <c r="I77" s="235">
        <v>9.3181994157015762</v>
      </c>
      <c r="J77" s="234">
        <v>10.822249297005795</v>
      </c>
      <c r="K77" s="234">
        <v>12.526839162483899</v>
      </c>
      <c r="L77" s="234">
        <v>14.474941865887455</v>
      </c>
      <c r="M77" s="234">
        <v>16.722752677506936</v>
      </c>
      <c r="P77" s="227"/>
      <c r="Q77" s="367"/>
      <c r="S77" s="232"/>
      <c r="T77" s="232"/>
      <c r="U77" s="232"/>
    </row>
    <row r="78" spans="3:32">
      <c r="P78" s="118"/>
      <c r="Q78" s="118"/>
      <c r="S78" s="118"/>
      <c r="T78" s="118"/>
      <c r="U78" s="118"/>
    </row>
    <row r="79" spans="3:32">
      <c r="C79" s="212"/>
      <c r="D79" s="213"/>
      <c r="E79" s="213"/>
      <c r="F79" s="123"/>
      <c r="G79" s="123"/>
      <c r="H79" s="123"/>
      <c r="I79" s="123"/>
      <c r="J79" s="123"/>
      <c r="K79" s="123"/>
      <c r="L79" s="123"/>
      <c r="M79" s="123"/>
      <c r="P79" s="118"/>
      <c r="Q79" s="118"/>
      <c r="R79" s="117"/>
      <c r="S79" s="118"/>
      <c r="T79" s="118"/>
      <c r="U79" s="118"/>
    </row>
    <row r="80" spans="3:32">
      <c r="C80" s="213"/>
      <c r="D80" s="213"/>
      <c r="E80" s="213"/>
      <c r="F80" s="123"/>
      <c r="G80" s="123"/>
      <c r="H80" s="123"/>
      <c r="I80" s="123"/>
      <c r="J80" s="123"/>
      <c r="K80" s="123"/>
      <c r="L80" s="123"/>
      <c r="M80" s="123"/>
      <c r="P80" s="118"/>
      <c r="Q80" s="118"/>
      <c r="R80" s="117"/>
      <c r="S80" s="118"/>
      <c r="T80" s="118"/>
      <c r="U80" s="118"/>
    </row>
    <row r="81" spans="3:18">
      <c r="C81" s="214"/>
      <c r="D81" s="215"/>
      <c r="E81" s="216" t="s">
        <v>315</v>
      </c>
      <c r="F81" s="238"/>
      <c r="G81" s="238"/>
      <c r="H81" s="238"/>
      <c r="I81" s="238"/>
      <c r="J81" s="238"/>
      <c r="K81" s="238"/>
      <c r="L81" s="238"/>
      <c r="M81" s="239"/>
      <c r="R81" s="240"/>
    </row>
    <row r="82" spans="3:18">
      <c r="C82" s="220"/>
      <c r="D82" s="221">
        <f>K22</f>
        <v>12.951790813235847</v>
      </c>
      <c r="E82" s="241">
        <f>F82-0.5</f>
        <v>4</v>
      </c>
      <c r="F82" s="241">
        <f>G82-0.5</f>
        <v>4.5</v>
      </c>
      <c r="G82" s="241">
        <f>H82-0.5</f>
        <v>5</v>
      </c>
      <c r="H82" s="241">
        <f>I82-0.5</f>
        <v>5.5</v>
      </c>
      <c r="I82" s="241">
        <v>6</v>
      </c>
      <c r="J82" s="241">
        <f>I82+0.5</f>
        <v>6.5</v>
      </c>
      <c r="K82" s="241">
        <f t="shared" ref="K82:M82" si="16">J82+0.5</f>
        <v>7</v>
      </c>
      <c r="L82" s="241">
        <f t="shared" si="16"/>
        <v>7.5</v>
      </c>
      <c r="M82" s="241">
        <f t="shared" si="16"/>
        <v>8</v>
      </c>
      <c r="R82" s="240"/>
    </row>
    <row r="83" spans="3:18">
      <c r="C83" s="364" t="s">
        <v>274</v>
      </c>
      <c r="D83" s="222">
        <v>6.0299999999999999E-2</v>
      </c>
      <c r="E83" s="229">
        <f t="dataTable" ref="E83:M91" dt2D="1" dtr="1" r1="F15" r2="F12"/>
        <v>6.4479460255262797</v>
      </c>
      <c r="F83" s="230">
        <v>8.6910477437974425</v>
      </c>
      <c r="G83" s="230">
        <v>10.934149462068596</v>
      </c>
      <c r="H83" s="231">
        <v>13.177251180339759</v>
      </c>
      <c r="I83" s="242">
        <v>15.420352898610913</v>
      </c>
      <c r="J83" s="231">
        <v>17.663454616882067</v>
      </c>
      <c r="K83" s="230">
        <v>19.90655633515323</v>
      </c>
      <c r="L83" s="230">
        <v>22.149658053424385</v>
      </c>
      <c r="M83" s="153">
        <v>24.392759771695541</v>
      </c>
      <c r="R83" s="240"/>
    </row>
    <row r="84" spans="3:18">
      <c r="C84" s="364"/>
      <c r="D84" s="222">
        <v>6.5299999999999997E-2</v>
      </c>
      <c r="E84" s="233">
        <v>5.8607122108596661</v>
      </c>
      <c r="F84" s="234">
        <v>8.0516656080763696</v>
      </c>
      <c r="G84" s="234">
        <v>10.242619005293072</v>
      </c>
      <c r="H84" s="235">
        <v>12.433572402509784</v>
      </c>
      <c r="I84" s="243">
        <v>14.624525799726486</v>
      </c>
      <c r="J84" s="235">
        <v>16.81547919694319</v>
      </c>
      <c r="K84" s="234">
        <v>19.006432594159893</v>
      </c>
      <c r="L84" s="234">
        <v>21.197385991376596</v>
      </c>
      <c r="M84" s="234">
        <v>23.388339388593302</v>
      </c>
      <c r="R84" s="240"/>
    </row>
    <row r="85" spans="3:18">
      <c r="C85" s="364"/>
      <c r="D85" s="222">
        <v>7.0300000000000001E-2</v>
      </c>
      <c r="E85" s="233">
        <v>5.2887110536679671</v>
      </c>
      <c r="F85" s="234">
        <v>7.4289642186365192</v>
      </c>
      <c r="G85" s="234">
        <v>9.5692173836050713</v>
      </c>
      <c r="H85" s="235">
        <v>11.709470548573627</v>
      </c>
      <c r="I85" s="243">
        <v>13.849723713542168</v>
      </c>
      <c r="J85" s="235">
        <v>15.989976878510724</v>
      </c>
      <c r="K85" s="234">
        <v>18.13023004347928</v>
      </c>
      <c r="L85" s="234">
        <v>20.270483208447828</v>
      </c>
      <c r="M85" s="234">
        <v>22.410736373416377</v>
      </c>
      <c r="R85" s="240"/>
    </row>
    <row r="86" spans="3:18">
      <c r="C86" s="364"/>
      <c r="D86" s="222">
        <v>7.5300000000000006E-2</v>
      </c>
      <c r="E86" s="233">
        <v>4.7314687475170176</v>
      </c>
      <c r="F86" s="234">
        <v>6.8224230721002854</v>
      </c>
      <c r="G86" s="234">
        <v>8.9133773966835488</v>
      </c>
      <c r="H86" s="235">
        <v>11.004331721266814</v>
      </c>
      <c r="I86" s="243">
        <v>13.095286045850081</v>
      </c>
      <c r="J86" s="235">
        <v>15.18624037043335</v>
      </c>
      <c r="K86" s="234">
        <v>17.277194695016615</v>
      </c>
      <c r="L86" s="234">
        <v>19.368149019599883</v>
      </c>
      <c r="M86" s="234">
        <v>21.459103344183152</v>
      </c>
      <c r="R86" s="240"/>
    </row>
    <row r="87" spans="3:18">
      <c r="C87" s="364"/>
      <c r="D87" s="222">
        <v>8.0299999999999996E-2</v>
      </c>
      <c r="E87" s="244">
        <v>4.1885284838329779</v>
      </c>
      <c r="F87" s="243">
        <v>6.2315403760180672</v>
      </c>
      <c r="G87" s="243">
        <v>8.2745522682031645</v>
      </c>
      <c r="H87" s="243">
        <v>10.317564160388253</v>
      </c>
      <c r="I87" s="243">
        <v>12.360576052573343</v>
      </c>
      <c r="J87" s="243">
        <v>14.403587944758433</v>
      </c>
      <c r="K87" s="243">
        <v>16.446599836943523</v>
      </c>
      <c r="L87" s="243">
        <v>18.489611729128619</v>
      </c>
      <c r="M87" s="243">
        <v>20.532623621313707</v>
      </c>
      <c r="R87" s="240"/>
    </row>
    <row r="88" spans="3:18">
      <c r="C88" s="364"/>
      <c r="D88" s="222">
        <v>8.5300000000000001E-2</v>
      </c>
      <c r="E88" s="233">
        <v>3.6594497641110468</v>
      </c>
      <c r="F88" s="234">
        <v>5.6558322907012313</v>
      </c>
      <c r="G88" s="234">
        <v>7.6522148172914157</v>
      </c>
      <c r="H88" s="235">
        <v>9.6485973438816064</v>
      </c>
      <c r="I88" s="243">
        <v>11.644979870471785</v>
      </c>
      <c r="J88" s="235">
        <v>13.641362397061975</v>
      </c>
      <c r="K88" s="234">
        <v>15.637744923652152</v>
      </c>
      <c r="L88" s="234">
        <v>17.634127450242346</v>
      </c>
      <c r="M88" s="234">
        <v>19.630509976832528</v>
      </c>
      <c r="R88" s="240"/>
    </row>
    <row r="89" spans="3:18">
      <c r="C89" s="364"/>
      <c r="D89" s="222">
        <v>9.0300000000000005E-2</v>
      </c>
      <c r="E89" s="233">
        <v>3.1438077430350648</v>
      </c>
      <c r="F89" s="234">
        <v>5.0948322051636952</v>
      </c>
      <c r="G89" s="234">
        <v>7.0458566672923189</v>
      </c>
      <c r="H89" s="235">
        <v>8.9968811294209488</v>
      </c>
      <c r="I89" s="243">
        <v>10.947905591549572</v>
      </c>
      <c r="J89" s="235">
        <v>12.898930053678203</v>
      </c>
      <c r="K89" s="234">
        <v>14.849954515806825</v>
      </c>
      <c r="L89" s="234">
        <v>16.800978977935458</v>
      </c>
      <c r="M89" s="234">
        <v>18.75200344006408</v>
      </c>
      <c r="R89" s="117"/>
    </row>
    <row r="90" spans="3:18">
      <c r="C90" s="364"/>
      <c r="D90" s="222">
        <v>9.5299999999999996E-2</v>
      </c>
      <c r="E90" s="233">
        <v>2.6411926009833517</v>
      </c>
      <c r="F90" s="234">
        <v>4.5480900454884541</v>
      </c>
      <c r="G90" s="234">
        <v>6.4549874899935569</v>
      </c>
      <c r="H90" s="235">
        <v>8.3618849344986668</v>
      </c>
      <c r="I90" s="243">
        <v>10.268782379003763</v>
      </c>
      <c r="J90" s="235">
        <v>12.175679823508872</v>
      </c>
      <c r="K90" s="234">
        <v>14.082577268013976</v>
      </c>
      <c r="L90" s="234">
        <v>15.989474712519078</v>
      </c>
      <c r="M90" s="234">
        <v>17.896372157024182</v>
      </c>
      <c r="R90" s="117"/>
    </row>
    <row r="91" spans="3:18">
      <c r="C91" s="368"/>
      <c r="D91" s="237">
        <v>0.1003</v>
      </c>
      <c r="E91" s="233">
        <v>2.151208944476608</v>
      </c>
      <c r="F91" s="234">
        <v>4.0151716140243465</v>
      </c>
      <c r="G91" s="234">
        <v>5.8791342835720819</v>
      </c>
      <c r="H91" s="235">
        <v>7.7430969531198244</v>
      </c>
      <c r="I91" s="243">
        <v>9.6070596226675598</v>
      </c>
      <c r="J91" s="235">
        <v>11.471022292215295</v>
      </c>
      <c r="K91" s="234">
        <v>13.33498496176303</v>
      </c>
      <c r="L91" s="234">
        <v>15.198947631310773</v>
      </c>
      <c r="M91" s="234">
        <v>17.062910300858508</v>
      </c>
      <c r="R91" s="117"/>
    </row>
    <row r="92" spans="3:18" ht="12.75">
      <c r="R92" s="117"/>
    </row>
    <row r="93" spans="3:18" ht="12.75">
      <c r="R93" s="117"/>
    </row>
    <row r="94" spans="3:18" ht="12.75">
      <c r="R94" s="117"/>
    </row>
    <row r="95" spans="3:18" ht="12.75">
      <c r="R95" s="117"/>
    </row>
    <row r="96" spans="3:18" ht="12.75">
      <c r="R96" s="117"/>
    </row>
    <row r="97" spans="3:18" ht="12.75">
      <c r="R97" s="117"/>
    </row>
    <row r="98" spans="3:18" ht="12.75">
      <c r="R98" s="117"/>
    </row>
    <row r="99" spans="3:18" ht="12.75">
      <c r="R99" s="117"/>
    </row>
    <row r="100" spans="3:18" ht="12.75">
      <c r="R100" s="117"/>
    </row>
    <row r="101" spans="3:18" ht="12.75">
      <c r="R101" s="117"/>
    </row>
    <row r="102" spans="3:18" ht="12.75">
      <c r="R102" s="117"/>
    </row>
    <row r="103" spans="3:18" ht="12.75">
      <c r="R103" s="117"/>
    </row>
    <row r="104" spans="3:18">
      <c r="C104" s="245"/>
      <c r="D104" s="227"/>
      <c r="E104" s="234"/>
      <c r="F104" s="234"/>
      <c r="G104" s="234"/>
      <c r="H104" s="234"/>
      <c r="I104" s="234"/>
      <c r="J104" s="234"/>
      <c r="K104" s="234"/>
      <c r="L104" s="234"/>
      <c r="M104" s="234"/>
      <c r="R104" s="117"/>
    </row>
    <row r="105" spans="3:18">
      <c r="C105" s="245"/>
      <c r="D105" s="227"/>
      <c r="E105" s="234"/>
      <c r="F105" s="234"/>
      <c r="G105" s="234"/>
      <c r="H105" s="234"/>
      <c r="I105" s="234"/>
      <c r="J105" s="234"/>
      <c r="K105" s="234"/>
      <c r="L105" s="234"/>
      <c r="M105" s="234"/>
      <c r="R105" s="117"/>
    </row>
    <row r="106" spans="3:18" ht="12.75">
      <c r="R106" s="117"/>
    </row>
    <row r="107" spans="3:18" ht="12.75">
      <c r="R107" s="117"/>
    </row>
    <row r="108" spans="3:18" ht="12.75">
      <c r="R108" s="117"/>
    </row>
    <row r="109" spans="3:18" ht="12.75">
      <c r="R109" s="117"/>
    </row>
    <row r="110" spans="3:18" ht="12.75">
      <c r="R110" s="117"/>
    </row>
    <row r="111" spans="3:18" ht="12.75">
      <c r="R111" s="117"/>
    </row>
    <row r="112" spans="3:18" ht="12.75">
      <c r="R112" s="117"/>
    </row>
    <row r="113" spans="3:18" ht="12.75">
      <c r="R113" s="117"/>
    </row>
    <row r="114" spans="3:18" ht="12.75">
      <c r="R114" s="117"/>
    </row>
    <row r="115" spans="3:18" ht="12.75">
      <c r="C115" s="246"/>
      <c r="D115" s="246"/>
      <c r="E115" s="246"/>
      <c r="F115" s="246"/>
      <c r="G115" s="246"/>
      <c r="H115" s="246"/>
      <c r="I115" s="246"/>
      <c r="R115" s="117"/>
    </row>
    <row r="116" spans="3:18">
      <c r="C116" s="218"/>
      <c r="D116" s="246"/>
      <c r="E116" s="246"/>
      <c r="F116" s="218" t="s">
        <v>18</v>
      </c>
      <c r="G116" s="218" t="s">
        <v>316</v>
      </c>
      <c r="H116" s="218" t="s">
        <v>19</v>
      </c>
      <c r="I116" s="246" t="s">
        <v>317</v>
      </c>
      <c r="R116" s="117"/>
    </row>
    <row r="117" spans="3:18" s="246" customFormat="1">
      <c r="C117" s="247" t="str">
        <f>"DCF Value at "&amp;TEXT(E82,"0.0x")&amp;"-"&amp;TEXT(M82,"0.0x")&amp;" Exit EBITDA Range"</f>
        <v>DCF Value at 4.0x-8.0x Exit EBITDA Range</v>
      </c>
      <c r="F117" s="248">
        <f>E87</f>
        <v>4.1885284838329779</v>
      </c>
      <c r="G117" s="249">
        <f>H117-F117</f>
        <v>16.344095137480728</v>
      </c>
      <c r="H117" s="250">
        <f>M87</f>
        <v>20.532623621313707</v>
      </c>
      <c r="I117" s="251">
        <f>K22</f>
        <v>12.951790813235847</v>
      </c>
    </row>
    <row r="118" spans="3:18" s="246" customFormat="1">
      <c r="C118" s="218" t="str">
        <f>"DCF Value at "&amp;TEXT(E68,"0.0%")&amp;"-"&amp;TEXT(M68,"0.0%")&amp;" Perpetuity Range"</f>
        <v>DCF Value at 0.0%-4.0% Perpetuity Range</v>
      </c>
      <c r="F118" s="248">
        <f>E73</f>
        <v>11.558329684847171</v>
      </c>
      <c r="G118" s="249">
        <f>H118-F118</f>
        <v>23.01229110893361</v>
      </c>
      <c r="H118" s="248">
        <f>M73</f>
        <v>34.570620793780783</v>
      </c>
      <c r="I118" s="251">
        <f>P22</f>
        <v>26.255613485951702</v>
      </c>
    </row>
    <row r="119" spans="3:18" s="246" customFormat="1">
      <c r="C119" s="218" t="s">
        <v>318</v>
      </c>
      <c r="F119" s="218">
        <v>9.6999999999999993</v>
      </c>
      <c r="G119" s="250">
        <f>H119-F119</f>
        <v>5.65</v>
      </c>
      <c r="H119" s="218">
        <v>15.35</v>
      </c>
      <c r="I119" s="246">
        <f>Share_Price</f>
        <v>10.050000000000001</v>
      </c>
    </row>
    <row r="120" spans="3:18" s="252" customFormat="1" ht="12.75"/>
    <row r="121" spans="3:18" ht="12.75">
      <c r="R121" s="117"/>
    </row>
    <row r="122" spans="3:18" ht="12.75">
      <c r="R122" s="117"/>
    </row>
    <row r="123" spans="3:18" ht="12.75">
      <c r="R123" s="117"/>
    </row>
    <row r="124" spans="3:18" ht="12.75">
      <c r="R124" s="117"/>
    </row>
    <row r="125" spans="3:18" ht="12.75">
      <c r="R125" s="117"/>
    </row>
    <row r="126" spans="3:18" ht="12.75">
      <c r="R126" s="117"/>
    </row>
    <row r="127" spans="3:18" ht="12.75">
      <c r="R127" s="117"/>
    </row>
    <row r="128" spans="3:18" ht="12.75">
      <c r="R128" s="117"/>
    </row>
    <row r="129" spans="18:18" ht="12.75">
      <c r="R129" s="117"/>
    </row>
    <row r="130" spans="18:18" ht="12.75">
      <c r="R130" s="117"/>
    </row>
    <row r="131" spans="18:18" ht="12.75">
      <c r="R131" s="117"/>
    </row>
  </sheetData>
  <mergeCells count="3">
    <mergeCell ref="C69:C77"/>
    <mergeCell ref="Q69:Q77"/>
    <mergeCell ref="C83:C91"/>
  </mergeCells>
  <conditionalFormatting sqref="S69:AA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whole" showInputMessage="1" showErrorMessage="1" sqref="F6" xr:uid="{A83F5666-B75D-4D69-9880-74EB90261016}">
      <formula1>0</formula1>
      <formula2>1</formula2>
    </dataValidation>
    <dataValidation type="whole" allowBlank="1" showInputMessage="1" showErrorMessage="1" sqref="K8" xr:uid="{2D6B7E51-DFA7-4560-AD9F-5B0C3A81B9FA}">
      <formula1>0</formula1>
      <formula2>1</formula2>
    </dataValidation>
  </dataValidations>
  <printOptions verticalCentered="1" headings="1" gridLines="1"/>
  <pageMargins left="0.25" right="0.25" top="0.25" bottom="0.25" header="0" footer="0"/>
  <pageSetup scale="56" orientation="landscape" r:id="rId1"/>
  <headerFooter alignWithMargins="0"/>
  <rowBreaks count="1" manualBreakCount="1">
    <brk id="45" max="15" man="1"/>
  </rowBreaks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8B62711-B0D2-4F81-B811-165CE2C053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'Ford-DCF'!H61:O61</xm:f>
              <xm:sqref>P61</xm:sqref>
            </x14:sparkline>
          </x14:sparklines>
        </x14:sparklineGroup>
        <x14:sparklineGroup type="column" displayEmptyCellsAs="gap" xr2:uid="{D1C0ADF0-8CB2-478B-808C-A81D027F4C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'Ford-DCF'!H58:O58</xm:f>
              <xm:sqref>P58</xm:sqref>
            </x14:sparkline>
          </x14:sparklines>
        </x14:sparklineGroup>
        <x14:sparklineGroup type="column" displayEmptyCellsAs="gap" xr2:uid="{E74A0FAE-AC02-4D72-AF02-59BB20AD95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'Ford-DCF'!H37:O37</xm:f>
              <xm:sqref>P37</xm:sqref>
            </x14:sparkline>
          </x14:sparklines>
        </x14:sparklineGroup>
        <x14:sparklineGroup type="column" displayEmptyCellsAs="gap" xr2:uid="{A6A5987F-E030-4999-8AF1-6CBBD49D31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'Ford-DCF'!H31:O31</xm:f>
              <xm:sqref>P31</xm:sqref>
            </x14:sparkline>
          </x14:sparklines>
        </x14:sparklineGroup>
        <x14:sparklineGroup type="column" displayEmptyCellsAs="gap" xr2:uid="{DE166080-02D5-490B-AE77-A710EDF54F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'Ford-DCF'!H29:O29</xm:f>
              <xm:sqref>P29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F048-C8BD-4731-80C4-6C5259A9CE3D}">
  <dimension ref="A1:F75"/>
  <sheetViews>
    <sheetView showGridLines="0" workbookViewId="0">
      <selection activeCell="H7" sqref="H7"/>
    </sheetView>
  </sheetViews>
  <sheetFormatPr defaultColWidth="8.85546875" defaultRowHeight="15.75"/>
  <cols>
    <col min="1" max="1" width="29.42578125" style="254" bestFit="1" customWidth="1"/>
    <col min="2" max="6" width="21.42578125" style="254" bestFit="1" customWidth="1"/>
    <col min="7" max="16384" width="8.85546875" style="254"/>
  </cols>
  <sheetData>
    <row r="1" spans="1:6">
      <c r="A1" s="253" t="s">
        <v>319</v>
      </c>
    </row>
    <row r="3" spans="1:6">
      <c r="A3" s="255" t="s">
        <v>320</v>
      </c>
    </row>
    <row r="4" spans="1:6" ht="16.5" thickBot="1">
      <c r="A4" s="255" t="s">
        <v>321</v>
      </c>
    </row>
    <row r="5" spans="1:6" ht="16.5" thickBot="1">
      <c r="A5" s="256"/>
      <c r="B5" s="257">
        <v>2022</v>
      </c>
      <c r="C5" s="257">
        <v>2021</v>
      </c>
      <c r="D5" s="257">
        <v>2020</v>
      </c>
      <c r="E5" s="257">
        <v>2019</v>
      </c>
      <c r="F5" s="257">
        <v>2018</v>
      </c>
    </row>
    <row r="6" spans="1:6" ht="18.95" customHeight="1" thickBot="1">
      <c r="A6" s="258" t="s">
        <v>322</v>
      </c>
      <c r="B6" s="259" t="s">
        <v>323</v>
      </c>
      <c r="C6" s="260" t="s">
        <v>324</v>
      </c>
      <c r="D6" s="259" t="s">
        <v>325</v>
      </c>
      <c r="E6" s="259" t="s">
        <v>326</v>
      </c>
      <c r="F6" s="260" t="s">
        <v>327</v>
      </c>
    </row>
    <row r="7" spans="1:6" ht="16.5" thickBot="1">
      <c r="A7" s="261" t="s">
        <v>328</v>
      </c>
      <c r="B7" s="262" t="s">
        <v>329</v>
      </c>
      <c r="C7" s="262" t="s">
        <v>330</v>
      </c>
      <c r="D7" s="262" t="s">
        <v>331</v>
      </c>
      <c r="E7" s="262" t="s">
        <v>332</v>
      </c>
      <c r="F7" s="262" t="s">
        <v>333</v>
      </c>
    </row>
    <row r="8" spans="1:6" ht="16.5" thickBot="1">
      <c r="A8" s="261" t="s">
        <v>334</v>
      </c>
      <c r="B8" s="262" t="s">
        <v>335</v>
      </c>
      <c r="C8" s="262" t="s">
        <v>335</v>
      </c>
      <c r="D8" s="262" t="s">
        <v>335</v>
      </c>
      <c r="E8" s="262" t="s">
        <v>335</v>
      </c>
      <c r="F8" s="262" t="s">
        <v>335</v>
      </c>
    </row>
    <row r="9" spans="1:6" ht="16.5" thickBot="1">
      <c r="A9" s="261" t="s">
        <v>336</v>
      </c>
      <c r="B9" s="262" t="s">
        <v>337</v>
      </c>
      <c r="C9" s="262" t="s">
        <v>337</v>
      </c>
      <c r="D9" s="262" t="s">
        <v>337</v>
      </c>
      <c r="E9" s="262" t="s">
        <v>337</v>
      </c>
      <c r="F9" s="262" t="s">
        <v>337</v>
      </c>
    </row>
    <row r="10" spans="1:6" ht="16.5" thickBot="1">
      <c r="A10" s="261" t="s">
        <v>338</v>
      </c>
      <c r="B10" s="262" t="s">
        <v>329</v>
      </c>
      <c r="C10" s="262" t="s">
        <v>330</v>
      </c>
      <c r="D10" s="262" t="s">
        <v>331</v>
      </c>
      <c r="E10" s="262" t="s">
        <v>332</v>
      </c>
      <c r="F10" s="262" t="s">
        <v>333</v>
      </c>
    </row>
    <row r="11" spans="1:6" ht="16.5" thickBot="1">
      <c r="A11" s="261" t="s">
        <v>339</v>
      </c>
      <c r="B11" s="262" t="s">
        <v>340</v>
      </c>
      <c r="C11" s="262" t="s">
        <v>340</v>
      </c>
      <c r="D11" s="262" t="s">
        <v>340</v>
      </c>
      <c r="E11" s="262" t="s">
        <v>340</v>
      </c>
      <c r="F11" s="262" t="s">
        <v>340</v>
      </c>
    </row>
    <row r="12" spans="1:6" ht="16.5" thickBot="1">
      <c r="A12" s="261" t="s">
        <v>341</v>
      </c>
      <c r="B12" s="262" t="s">
        <v>342</v>
      </c>
      <c r="C12" s="262" t="s">
        <v>343</v>
      </c>
      <c r="D12" s="262" t="s">
        <v>343</v>
      </c>
      <c r="E12" s="262" t="s">
        <v>343</v>
      </c>
      <c r="F12" s="262" t="s">
        <v>344</v>
      </c>
    </row>
    <row r="13" spans="1:6" ht="16.5" thickBot="1">
      <c r="A13" s="261" t="s">
        <v>345</v>
      </c>
      <c r="B13" s="262" t="s">
        <v>346</v>
      </c>
      <c r="C13" s="262" t="s">
        <v>346</v>
      </c>
      <c r="D13" s="262" t="s">
        <v>346</v>
      </c>
      <c r="E13" s="262" t="s">
        <v>346</v>
      </c>
      <c r="F13" s="262" t="s">
        <v>346</v>
      </c>
    </row>
    <row r="14" spans="1:6" ht="16.5" thickBot="1">
      <c r="A14" s="261" t="s">
        <v>347</v>
      </c>
      <c r="B14" s="262" t="s">
        <v>348</v>
      </c>
      <c r="C14" s="262" t="s">
        <v>348</v>
      </c>
      <c r="D14" s="262" t="s">
        <v>348</v>
      </c>
      <c r="E14" s="262" t="s">
        <v>348</v>
      </c>
      <c r="F14" s="262" t="s">
        <v>348</v>
      </c>
    </row>
    <row r="15" spans="1:6" ht="16.5" thickBot="1">
      <c r="A15" s="261" t="s">
        <v>349</v>
      </c>
      <c r="B15" s="262" t="s">
        <v>350</v>
      </c>
      <c r="C15" s="262" t="s">
        <v>351</v>
      </c>
      <c r="D15" s="262" t="s">
        <v>352</v>
      </c>
      <c r="E15" s="262" t="s">
        <v>353</v>
      </c>
      <c r="F15" s="262" t="s">
        <v>354</v>
      </c>
    </row>
    <row r="16" spans="1:6" ht="16.5" thickBot="1">
      <c r="A16" s="261" t="s">
        <v>355</v>
      </c>
      <c r="B16" s="262">
        <v>44959.883333333331</v>
      </c>
      <c r="C16" s="262">
        <v>44595.883333333331</v>
      </c>
      <c r="D16" s="262">
        <v>44231.892361111109</v>
      </c>
      <c r="E16" s="262">
        <v>43837.801388888889</v>
      </c>
      <c r="F16" s="262">
        <v>43488.902777777781</v>
      </c>
    </row>
    <row r="17" spans="1:6" ht="16.5" thickBot="1">
      <c r="A17" s="261" t="s">
        <v>356</v>
      </c>
      <c r="B17" s="262" t="s">
        <v>357</v>
      </c>
      <c r="C17" s="262" t="s">
        <v>357</v>
      </c>
      <c r="D17" s="262" t="s">
        <v>357</v>
      </c>
      <c r="E17" s="262" t="s">
        <v>357</v>
      </c>
      <c r="F17" s="262" t="s">
        <v>357</v>
      </c>
    </row>
    <row r="18" spans="1:6" ht="16.5" thickBot="1">
      <c r="A18" s="261" t="s">
        <v>358</v>
      </c>
      <c r="B18" s="262" t="s">
        <v>359</v>
      </c>
      <c r="C18" s="262" t="s">
        <v>359</v>
      </c>
      <c r="D18" s="262" t="s">
        <v>359</v>
      </c>
      <c r="E18" s="262" t="s">
        <v>359</v>
      </c>
      <c r="F18" s="262" t="s">
        <v>359</v>
      </c>
    </row>
    <row r="19" spans="1:6" ht="16.5" thickBot="1">
      <c r="A19" s="261" t="s">
        <v>360</v>
      </c>
      <c r="B19" s="262" t="s">
        <v>361</v>
      </c>
      <c r="C19" s="262" t="s">
        <v>361</v>
      </c>
      <c r="D19" s="262" t="s">
        <v>361</v>
      </c>
      <c r="E19" s="262" t="s">
        <v>361</v>
      </c>
      <c r="F19" s="262" t="s">
        <v>361</v>
      </c>
    </row>
    <row r="20" spans="1:6" ht="16.5" thickBot="1">
      <c r="A20" s="261" t="s">
        <v>362</v>
      </c>
      <c r="B20" s="262" t="s">
        <v>363</v>
      </c>
      <c r="C20" s="262" t="s">
        <v>363</v>
      </c>
      <c r="D20" s="262" t="s">
        <v>363</v>
      </c>
      <c r="E20" s="262" t="s">
        <v>363</v>
      </c>
      <c r="F20" s="262" t="s">
        <v>363</v>
      </c>
    </row>
    <row r="21" spans="1:6" ht="16.5" thickBot="1">
      <c r="A21" s="261" t="s">
        <v>364</v>
      </c>
      <c r="B21" s="262" t="s">
        <v>365</v>
      </c>
      <c r="C21" s="262" t="s">
        <v>365</v>
      </c>
      <c r="D21" s="262" t="s">
        <v>365</v>
      </c>
      <c r="E21" s="262" t="s">
        <v>365</v>
      </c>
      <c r="F21" s="262" t="s">
        <v>365</v>
      </c>
    </row>
    <row r="22" spans="1:6">
      <c r="A22" s="261" t="s">
        <v>366</v>
      </c>
      <c r="B22" s="262" t="s">
        <v>367</v>
      </c>
      <c r="C22" s="262" t="s">
        <v>367</v>
      </c>
      <c r="D22" s="262" t="s">
        <v>367</v>
      </c>
      <c r="E22" s="262" t="s">
        <v>367</v>
      </c>
      <c r="F22" s="262" t="s">
        <v>367</v>
      </c>
    </row>
    <row r="23" spans="1:6" ht="15.95" customHeight="1" thickBot="1">
      <c r="A23" s="263" t="s">
        <v>368</v>
      </c>
      <c r="B23" s="263"/>
      <c r="C23" s="263"/>
      <c r="D23" s="263"/>
      <c r="E23" s="263"/>
      <c r="F23" s="263"/>
    </row>
    <row r="24" spans="1:6" ht="16.5" thickBot="1">
      <c r="A24" s="264" t="s">
        <v>369</v>
      </c>
      <c r="B24" s="265">
        <v>-2152</v>
      </c>
      <c r="C24" s="265">
        <v>17910</v>
      </c>
      <c r="D24" s="265">
        <v>-1276</v>
      </c>
      <c r="E24" s="265">
        <v>84</v>
      </c>
      <c r="F24" s="265">
        <v>3695</v>
      </c>
    </row>
    <row r="25" spans="1:6" ht="16.5" thickBot="1">
      <c r="A25" s="266" t="s">
        <v>370</v>
      </c>
      <c r="B25" s="267">
        <v>7642</v>
      </c>
      <c r="C25" s="267">
        <v>7318</v>
      </c>
      <c r="D25" s="267">
        <v>8751</v>
      </c>
      <c r="E25" s="267">
        <v>9689</v>
      </c>
      <c r="F25" s="267">
        <v>9280</v>
      </c>
    </row>
    <row r="26" spans="1:6" ht="16.5" thickBot="1">
      <c r="A26" s="268" t="s">
        <v>371</v>
      </c>
      <c r="B26" s="269">
        <v>7642</v>
      </c>
      <c r="C26" s="269">
        <v>7318</v>
      </c>
      <c r="D26" s="269">
        <v>8751</v>
      </c>
      <c r="E26" s="269">
        <v>9689</v>
      </c>
      <c r="F26" s="269">
        <v>9280</v>
      </c>
    </row>
    <row r="27" spans="1:6" s="272" customFormat="1" ht="16.5" thickBot="1">
      <c r="A27" s="270" t="s">
        <v>372</v>
      </c>
      <c r="B27" s="271">
        <v>-1910</v>
      </c>
      <c r="C27" s="271">
        <v>-563</v>
      </c>
      <c r="D27" s="271">
        <v>-269</v>
      </c>
      <c r="E27" s="271">
        <v>-1370</v>
      </c>
      <c r="F27" s="271">
        <v>-197</v>
      </c>
    </row>
    <row r="28" spans="1:6" ht="16.5" thickBot="1">
      <c r="A28" s="266" t="s">
        <v>373</v>
      </c>
      <c r="B28" s="267">
        <v>9888</v>
      </c>
      <c r="C28" s="267">
        <v>-13345</v>
      </c>
      <c r="D28" s="267">
        <v>-1693</v>
      </c>
      <c r="E28" s="267">
        <v>2991</v>
      </c>
      <c r="F28" s="267">
        <v>-1487</v>
      </c>
    </row>
    <row r="29" spans="1:6" ht="16.5" thickBot="1">
      <c r="A29" s="268" t="s">
        <v>374</v>
      </c>
      <c r="B29" s="269">
        <v>7358</v>
      </c>
      <c r="C29" s="269">
        <v>-12642</v>
      </c>
      <c r="D29" s="269">
        <v>-1237</v>
      </c>
      <c r="E29" s="269">
        <v>3400</v>
      </c>
      <c r="F29" s="269">
        <v>358</v>
      </c>
    </row>
    <row r="30" spans="1:6" ht="16.5" thickBot="1">
      <c r="A30" s="268" t="s">
        <v>375</v>
      </c>
      <c r="B30" s="269">
        <v>3324</v>
      </c>
      <c r="C30" s="269">
        <v>116</v>
      </c>
      <c r="D30" s="269">
        <v>130</v>
      </c>
      <c r="E30" s="269">
        <v>203</v>
      </c>
      <c r="F30" s="269">
        <v>206</v>
      </c>
    </row>
    <row r="31" spans="1:6" ht="16.5" thickBot="1">
      <c r="A31" s="268" t="s">
        <v>376</v>
      </c>
      <c r="B31" s="269">
        <v>-794</v>
      </c>
      <c r="C31" s="269">
        <v>-819</v>
      </c>
      <c r="D31" s="269">
        <v>-586</v>
      </c>
      <c r="E31" s="269">
        <v>-612</v>
      </c>
      <c r="F31" s="269">
        <v>-2051</v>
      </c>
    </row>
    <row r="32" spans="1:6" ht="16.5" thickBot="1">
      <c r="A32" s="266" t="s">
        <v>377</v>
      </c>
      <c r="B32" s="273">
        <v>-6615</v>
      </c>
      <c r="C32" s="273">
        <v>4467</v>
      </c>
      <c r="D32" s="273">
        <v>18756</v>
      </c>
      <c r="E32" s="273">
        <v>6245</v>
      </c>
      <c r="F32" s="273">
        <v>3731</v>
      </c>
    </row>
    <row r="33" spans="1:6" ht="16.5" thickBot="1">
      <c r="A33" s="274" t="s">
        <v>378</v>
      </c>
      <c r="B33" s="269">
        <v>-11743</v>
      </c>
      <c r="C33" s="269">
        <v>6515</v>
      </c>
      <c r="D33" s="269">
        <v>12041</v>
      </c>
      <c r="E33" s="269">
        <v>738</v>
      </c>
      <c r="F33" s="269">
        <v>-2239</v>
      </c>
    </row>
    <row r="34" spans="1:6" ht="16.5" thickBot="1">
      <c r="A34" s="268" t="s">
        <v>379</v>
      </c>
      <c r="B34" s="269">
        <v>-2576</v>
      </c>
      <c r="C34" s="269">
        <v>-1778</v>
      </c>
      <c r="D34" s="269">
        <v>148</v>
      </c>
      <c r="E34" s="269">
        <v>206</v>
      </c>
      <c r="F34" s="269">
        <v>-828</v>
      </c>
    </row>
    <row r="35" spans="1:6" ht="16.5" thickBot="1">
      <c r="A35" s="268" t="s">
        <v>380</v>
      </c>
      <c r="B35" s="269">
        <v>7268</v>
      </c>
      <c r="C35" s="269">
        <v>-36</v>
      </c>
      <c r="D35" s="269">
        <v>6809</v>
      </c>
      <c r="E35" s="269">
        <v>5260</v>
      </c>
      <c r="F35" s="269">
        <v>6781</v>
      </c>
    </row>
    <row r="36" spans="1:6" ht="16.5" thickBot="1">
      <c r="A36" s="268" t="s">
        <v>381</v>
      </c>
      <c r="B36" s="269">
        <v>436</v>
      </c>
      <c r="C36" s="269">
        <v>-234</v>
      </c>
      <c r="D36" s="269">
        <v>-242</v>
      </c>
      <c r="E36" s="269">
        <v>41</v>
      </c>
      <c r="F36" s="269">
        <v>17</v>
      </c>
    </row>
    <row r="37" spans="1:6" ht="16.5" thickBot="1">
      <c r="A37" s="264" t="s">
        <v>382</v>
      </c>
      <c r="B37" s="265">
        <v>6853</v>
      </c>
      <c r="C37" s="265">
        <v>15787</v>
      </c>
      <c r="D37" s="265">
        <v>24269</v>
      </c>
      <c r="E37" s="265">
        <v>17639</v>
      </c>
      <c r="F37" s="265">
        <v>15022</v>
      </c>
    </row>
    <row r="38" spans="1:6">
      <c r="A38" s="275"/>
      <c r="B38" s="276">
        <f>SUM(B33:B36)</f>
        <v>-6615</v>
      </c>
      <c r="C38" s="275"/>
      <c r="D38" s="275"/>
      <c r="E38" s="275"/>
      <c r="F38" s="275"/>
    </row>
    <row r="39" spans="1:6" ht="15.95" customHeight="1" thickBot="1">
      <c r="A39" s="263" t="s">
        <v>383</v>
      </c>
      <c r="B39" s="263"/>
      <c r="C39" s="263"/>
      <c r="D39" s="263"/>
      <c r="E39" s="263"/>
      <c r="F39" s="263"/>
    </row>
    <row r="40" spans="1:6" ht="16.5" thickBot="1">
      <c r="A40" s="266" t="s">
        <v>384</v>
      </c>
      <c r="B40" s="267">
        <v>-6866</v>
      </c>
      <c r="C40" s="267">
        <v>-6227</v>
      </c>
      <c r="D40" s="267">
        <v>-5742</v>
      </c>
      <c r="E40" s="267">
        <v>-7632</v>
      </c>
      <c r="F40" s="267">
        <v>-7785</v>
      </c>
    </row>
    <row r="41" spans="1:6" ht="16.5" thickBot="1">
      <c r="A41" s="268" t="s">
        <v>385</v>
      </c>
      <c r="B41" s="269">
        <v>-6866</v>
      </c>
      <c r="C41" s="269">
        <v>-6227</v>
      </c>
      <c r="D41" s="269">
        <v>-5742</v>
      </c>
      <c r="E41" s="269">
        <v>-7632</v>
      </c>
      <c r="F41" s="269">
        <v>-7785</v>
      </c>
    </row>
    <row r="42" spans="1:6" ht="16.5" thickBot="1">
      <c r="A42" s="266" t="s">
        <v>386</v>
      </c>
      <c r="B42" s="267">
        <v>2519</v>
      </c>
      <c r="C42" s="267">
        <v>8972</v>
      </c>
      <c r="D42" s="267">
        <v>-12873</v>
      </c>
      <c r="E42" s="267">
        <v>-6089</v>
      </c>
      <c r="F42" s="267">
        <v>-8476</v>
      </c>
    </row>
    <row r="43" spans="1:6" ht="16.5" thickBot="1">
      <c r="A43" s="268" t="s">
        <v>387</v>
      </c>
      <c r="B43" s="269">
        <v>449</v>
      </c>
      <c r="C43" s="269">
        <v>145</v>
      </c>
      <c r="D43" s="269">
        <v>1340</v>
      </c>
      <c r="E43" s="269" t="s">
        <v>388</v>
      </c>
      <c r="F43" s="269" t="s">
        <v>388</v>
      </c>
    </row>
    <row r="44" spans="1:6" ht="16.5" thickBot="1">
      <c r="A44" s="268" t="s">
        <v>389</v>
      </c>
      <c r="B44" s="269">
        <v>19117</v>
      </c>
      <c r="C44" s="269">
        <v>33229</v>
      </c>
      <c r="D44" s="269">
        <v>32395</v>
      </c>
      <c r="E44" s="269">
        <v>16929</v>
      </c>
      <c r="F44" s="269">
        <v>20527</v>
      </c>
    </row>
    <row r="45" spans="1:6" ht="16.5" thickBot="1">
      <c r="A45" s="268" t="s">
        <v>390</v>
      </c>
      <c r="B45" s="269">
        <v>94</v>
      </c>
      <c r="C45" s="269">
        <v>-272</v>
      </c>
      <c r="D45" s="269">
        <v>-323</v>
      </c>
      <c r="E45" s="269">
        <v>-114</v>
      </c>
      <c r="F45" s="269">
        <v>358</v>
      </c>
    </row>
    <row r="46" spans="1:6" ht="16.5" thickBot="1">
      <c r="A46" s="268" t="s">
        <v>391</v>
      </c>
      <c r="B46" s="269">
        <v>-18196</v>
      </c>
      <c r="C46" s="269">
        <v>-27491</v>
      </c>
      <c r="D46" s="269">
        <v>-39624</v>
      </c>
      <c r="E46" s="269">
        <v>-17472</v>
      </c>
      <c r="F46" s="269">
        <v>-17140</v>
      </c>
    </row>
    <row r="47" spans="1:6" ht="16.5" thickBot="1">
      <c r="A47" s="268" t="s">
        <v>392</v>
      </c>
      <c r="B47" s="269">
        <v>1055</v>
      </c>
      <c r="C47" s="269">
        <v>3361</v>
      </c>
      <c r="D47" s="269">
        <v>-6661</v>
      </c>
      <c r="E47" s="269">
        <v>-5432</v>
      </c>
      <c r="F47" s="269">
        <v>-12221</v>
      </c>
    </row>
    <row r="48" spans="1:6" ht="16.5" thickBot="1">
      <c r="A48" s="264" t="s">
        <v>393</v>
      </c>
      <c r="B48" s="265">
        <v>-4347</v>
      </c>
      <c r="C48" s="265">
        <v>2745</v>
      </c>
      <c r="D48" s="265">
        <v>-18615</v>
      </c>
      <c r="E48" s="265">
        <v>-13721</v>
      </c>
      <c r="F48" s="265">
        <v>-16261</v>
      </c>
    </row>
    <row r="49" spans="1:6">
      <c r="A49" s="275"/>
      <c r="B49" s="275"/>
      <c r="C49" s="275"/>
      <c r="D49" s="275"/>
      <c r="E49" s="275"/>
      <c r="F49" s="275"/>
    </row>
    <row r="50" spans="1:6" ht="15.95" customHeight="1" thickBot="1">
      <c r="A50" s="263" t="s">
        <v>394</v>
      </c>
      <c r="B50" s="263"/>
      <c r="C50" s="263"/>
      <c r="D50" s="263"/>
      <c r="E50" s="263"/>
      <c r="F50" s="263"/>
    </row>
    <row r="51" spans="1:6" ht="16.5" thickBot="1">
      <c r="A51" s="266" t="s">
        <v>395</v>
      </c>
      <c r="B51" s="267">
        <v>-271</v>
      </c>
      <c r="C51" s="267">
        <v>-105</v>
      </c>
      <c r="D51" s="267">
        <v>-184</v>
      </c>
      <c r="E51" s="267">
        <v>-226</v>
      </c>
      <c r="F51" s="267">
        <v>-192</v>
      </c>
    </row>
    <row r="52" spans="1:6" ht="16.5" thickBot="1">
      <c r="A52" s="268" t="s">
        <v>396</v>
      </c>
      <c r="B52" s="269">
        <v>-271</v>
      </c>
      <c r="C52" s="269">
        <v>-105</v>
      </c>
      <c r="D52" s="269">
        <v>-184</v>
      </c>
      <c r="E52" s="269">
        <v>-226</v>
      </c>
      <c r="F52" s="269">
        <v>-192</v>
      </c>
    </row>
    <row r="53" spans="1:6" ht="16.5" thickBot="1">
      <c r="A53" s="266" t="s">
        <v>397</v>
      </c>
      <c r="B53" s="267">
        <v>-2009</v>
      </c>
      <c r="C53" s="267">
        <v>-403</v>
      </c>
      <c r="D53" s="267">
        <v>-596</v>
      </c>
      <c r="E53" s="267">
        <v>-2389</v>
      </c>
      <c r="F53" s="267">
        <v>-2905</v>
      </c>
    </row>
    <row r="54" spans="1:6" ht="16.5" thickBot="1">
      <c r="A54" s="268" t="s">
        <v>398</v>
      </c>
      <c r="B54" s="269">
        <v>-2009</v>
      </c>
      <c r="C54" s="269">
        <v>-403</v>
      </c>
      <c r="D54" s="269">
        <v>-596</v>
      </c>
      <c r="E54" s="269">
        <v>-2389</v>
      </c>
      <c r="F54" s="269">
        <v>-2905</v>
      </c>
    </row>
    <row r="55" spans="1:6" ht="16.5" thickBot="1">
      <c r="A55" s="266" t="s">
        <v>399</v>
      </c>
      <c r="B55" s="267">
        <v>-484</v>
      </c>
      <c r="C55" s="267">
        <v>0</v>
      </c>
      <c r="D55" s="267">
        <v>0</v>
      </c>
      <c r="E55" s="267">
        <v>-237</v>
      </c>
      <c r="F55" s="267">
        <v>-164</v>
      </c>
    </row>
    <row r="56" spans="1:6" ht="16.5" thickBot="1">
      <c r="A56" s="268" t="s">
        <v>400</v>
      </c>
      <c r="B56" s="269">
        <v>-484</v>
      </c>
      <c r="C56" s="269">
        <v>0</v>
      </c>
      <c r="D56" s="269">
        <v>0</v>
      </c>
      <c r="E56" s="269">
        <v>-237</v>
      </c>
      <c r="F56" s="269">
        <v>-164</v>
      </c>
    </row>
    <row r="57" spans="1:6" ht="16.5" thickBot="1">
      <c r="A57" s="268" t="s">
        <v>401</v>
      </c>
      <c r="B57" s="269">
        <v>-484</v>
      </c>
      <c r="C57" s="269">
        <v>0</v>
      </c>
      <c r="D57" s="269">
        <v>0</v>
      </c>
      <c r="E57" s="269">
        <v>-237</v>
      </c>
      <c r="F57" s="269">
        <v>-164</v>
      </c>
    </row>
    <row r="58" spans="1:6" ht="16.5" thickBot="1">
      <c r="A58" s="266" t="s">
        <v>402</v>
      </c>
      <c r="B58" s="267">
        <v>5275</v>
      </c>
      <c r="C58" s="267">
        <v>-22990</v>
      </c>
      <c r="D58" s="267">
        <v>3095</v>
      </c>
      <c r="E58" s="267">
        <v>-277</v>
      </c>
      <c r="F58" s="267">
        <v>3139</v>
      </c>
    </row>
    <row r="59" spans="1:6" ht="16.5" thickBot="1">
      <c r="A59" s="268" t="s">
        <v>403</v>
      </c>
      <c r="B59" s="269">
        <v>5460</v>
      </c>
      <c r="C59" s="269">
        <v>3273</v>
      </c>
      <c r="D59" s="269">
        <v>-2291</v>
      </c>
      <c r="E59" s="269">
        <v>-1384</v>
      </c>
      <c r="F59" s="269">
        <v>-2819</v>
      </c>
    </row>
    <row r="60" spans="1:6" ht="16.5" thickBot="1">
      <c r="A60" s="268" t="s">
        <v>404</v>
      </c>
      <c r="B60" s="269">
        <v>45470</v>
      </c>
      <c r="C60" s="269">
        <v>27901</v>
      </c>
      <c r="D60" s="269">
        <v>65900</v>
      </c>
      <c r="E60" s="269">
        <v>47604</v>
      </c>
      <c r="F60" s="269">
        <v>50130</v>
      </c>
    </row>
    <row r="61" spans="1:6" ht="16.5" thickBot="1">
      <c r="A61" s="268" t="s">
        <v>405</v>
      </c>
      <c r="B61" s="269">
        <v>-45655</v>
      </c>
      <c r="C61" s="269">
        <v>-54164</v>
      </c>
      <c r="D61" s="269">
        <v>-60514</v>
      </c>
      <c r="E61" s="269">
        <v>-46497</v>
      </c>
      <c r="F61" s="269">
        <v>-44172</v>
      </c>
    </row>
    <row r="62" spans="1:6" ht="16.5" thickBot="1">
      <c r="A62" s="268" t="s">
        <v>406</v>
      </c>
      <c r="B62" s="269">
        <v>-185</v>
      </c>
      <c r="C62" s="269">
        <v>-26263</v>
      </c>
      <c r="D62" s="269">
        <v>5386</v>
      </c>
      <c r="E62" s="269">
        <v>1107</v>
      </c>
      <c r="F62" s="269">
        <v>5958</v>
      </c>
    </row>
    <row r="63" spans="1:6" ht="16.5" thickBot="1">
      <c r="A63" s="264" t="s">
        <v>407</v>
      </c>
      <c r="B63" s="265">
        <v>2511</v>
      </c>
      <c r="C63" s="265">
        <v>-23498</v>
      </c>
      <c r="D63" s="265">
        <v>2315</v>
      </c>
      <c r="E63" s="265">
        <v>-3129</v>
      </c>
      <c r="F63" s="265">
        <v>-122</v>
      </c>
    </row>
    <row r="64" spans="1:6" ht="16.5" thickBot="1">
      <c r="A64" s="275"/>
      <c r="B64" s="275"/>
      <c r="C64" s="275"/>
      <c r="D64" s="275"/>
      <c r="E64" s="275"/>
      <c r="F64" s="275"/>
    </row>
    <row r="65" spans="1:6" ht="16.5" thickBot="1">
      <c r="A65" s="264" t="s">
        <v>408</v>
      </c>
      <c r="B65" s="265">
        <v>-414</v>
      </c>
      <c r="C65" s="265">
        <v>-232</v>
      </c>
      <c r="D65" s="265">
        <v>225</v>
      </c>
      <c r="E65" s="265">
        <v>45</v>
      </c>
      <c r="F65" s="265">
        <v>-370</v>
      </c>
    </row>
    <row r="66" spans="1:6" ht="16.5" thickBot="1">
      <c r="A66" s="264" t="s">
        <v>409</v>
      </c>
      <c r="B66" s="265">
        <v>4603</v>
      </c>
      <c r="C66" s="265">
        <v>-5198</v>
      </c>
      <c r="D66" s="265">
        <v>8194</v>
      </c>
      <c r="E66" s="265">
        <v>834</v>
      </c>
      <c r="F66" s="265">
        <v>-1731</v>
      </c>
    </row>
    <row r="67" spans="1:6" ht="16.5" thickBot="1">
      <c r="A67" s="275"/>
      <c r="B67" s="275"/>
      <c r="C67" s="275"/>
      <c r="D67" s="275"/>
      <c r="E67" s="275"/>
      <c r="F67" s="275"/>
    </row>
    <row r="68" spans="1:6" ht="16.5" thickBot="1">
      <c r="A68" s="264" t="s">
        <v>410</v>
      </c>
      <c r="B68" s="265">
        <v>20737</v>
      </c>
      <c r="C68" s="265">
        <v>25935</v>
      </c>
      <c r="D68" s="265">
        <v>17741</v>
      </c>
      <c r="E68" s="265">
        <v>16907</v>
      </c>
      <c r="F68" s="265">
        <v>18638</v>
      </c>
    </row>
    <row r="69" spans="1:6" ht="16.5" thickBot="1">
      <c r="A69" s="264" t="s">
        <v>411</v>
      </c>
      <c r="B69" s="265">
        <v>25340</v>
      </c>
      <c r="C69" s="265">
        <v>20737</v>
      </c>
      <c r="D69" s="265">
        <v>25935</v>
      </c>
      <c r="E69" s="265">
        <v>17741</v>
      </c>
      <c r="F69" s="265">
        <v>16907</v>
      </c>
    </row>
    <row r="70" spans="1:6" ht="16.5" thickBot="1">
      <c r="A70" s="264" t="s">
        <v>412</v>
      </c>
      <c r="B70" s="265">
        <v>4400</v>
      </c>
      <c r="C70" s="265">
        <v>4700</v>
      </c>
      <c r="D70" s="265">
        <v>4800</v>
      </c>
      <c r="E70" s="265">
        <v>5100</v>
      </c>
      <c r="F70" s="265" t="s">
        <v>388</v>
      </c>
    </row>
    <row r="71" spans="1:6" ht="16.5" thickBot="1">
      <c r="A71" s="264" t="s">
        <v>413</v>
      </c>
      <c r="B71" s="265">
        <v>801</v>
      </c>
      <c r="C71" s="265">
        <v>568</v>
      </c>
      <c r="D71" s="265">
        <v>421</v>
      </c>
      <c r="E71" s="265">
        <v>599</v>
      </c>
      <c r="F71" s="265">
        <v>740</v>
      </c>
    </row>
    <row r="72" spans="1:6">
      <c r="A72" s="264" t="s">
        <v>414</v>
      </c>
      <c r="B72" s="265">
        <v>-7051</v>
      </c>
      <c r="C72" s="265">
        <v>4701</v>
      </c>
      <c r="D72" s="265">
        <v>18998</v>
      </c>
      <c r="E72" s="265">
        <v>6204</v>
      </c>
      <c r="F72" s="265">
        <v>3714</v>
      </c>
    </row>
    <row r="73" spans="1:6" ht="16.5" thickBot="1">
      <c r="A73" s="277"/>
    </row>
    <row r="74" spans="1:6" ht="16.5" thickBot="1">
      <c r="A74" s="255" t="s">
        <v>415</v>
      </c>
      <c r="B74" s="265">
        <v>-13</v>
      </c>
      <c r="C74" s="265">
        <v>9560</v>
      </c>
      <c r="D74" s="265">
        <v>18527</v>
      </c>
      <c r="E74" s="265">
        <v>10007</v>
      </c>
      <c r="F74" s="265">
        <v>7237</v>
      </c>
    </row>
    <row r="75" spans="1:6">
      <c r="A75" s="275"/>
      <c r="B75" s="275"/>
      <c r="C75" s="275"/>
      <c r="D75" s="275"/>
      <c r="E75" s="275"/>
      <c r="F75" s="275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A410-622A-4DC0-99D6-39C9F077098E}">
  <dimension ref="A1:F205"/>
  <sheetViews>
    <sheetView showGridLines="0" topLeftCell="A12" workbookViewId="0">
      <selection activeCell="H7" sqref="H7"/>
    </sheetView>
  </sheetViews>
  <sheetFormatPr defaultColWidth="8.85546875" defaultRowHeight="15.75"/>
  <cols>
    <col min="1" max="1" width="33.28515625" style="254" bestFit="1" customWidth="1"/>
    <col min="2" max="6" width="21.42578125" style="254" bestFit="1" customWidth="1"/>
    <col min="7" max="16384" width="8.85546875" style="254"/>
  </cols>
  <sheetData>
    <row r="1" spans="1:6">
      <c r="A1" s="253" t="s">
        <v>416</v>
      </c>
    </row>
    <row r="3" spans="1:6">
      <c r="A3" s="255" t="s">
        <v>417</v>
      </c>
    </row>
    <row r="4" spans="1:6" ht="16.5" thickBot="1">
      <c r="A4" s="255" t="s">
        <v>321</v>
      </c>
    </row>
    <row r="5" spans="1:6" ht="16.5" thickBot="1">
      <c r="A5" s="256"/>
      <c r="B5" s="257">
        <v>2022</v>
      </c>
      <c r="C5" s="257">
        <v>2021</v>
      </c>
      <c r="D5" s="257">
        <v>2020</v>
      </c>
      <c r="E5" s="257">
        <v>2019</v>
      </c>
      <c r="F5" s="257">
        <v>2018</v>
      </c>
    </row>
    <row r="6" spans="1:6" ht="18.95" customHeight="1" thickBot="1">
      <c r="A6" s="258" t="s">
        <v>322</v>
      </c>
      <c r="B6" s="259" t="s">
        <v>323</v>
      </c>
      <c r="C6" s="260" t="s">
        <v>324</v>
      </c>
      <c r="D6" s="259" t="s">
        <v>325</v>
      </c>
      <c r="E6" s="259" t="s">
        <v>326</v>
      </c>
      <c r="F6" s="260" t="s">
        <v>327</v>
      </c>
    </row>
    <row r="7" spans="1:6" ht="16.5" thickBot="1">
      <c r="A7" s="261" t="s">
        <v>328</v>
      </c>
      <c r="B7" s="262" t="s">
        <v>329</v>
      </c>
      <c r="C7" s="262" t="s">
        <v>330</v>
      </c>
      <c r="D7" s="262" t="s">
        <v>331</v>
      </c>
      <c r="E7" s="262" t="s">
        <v>332</v>
      </c>
      <c r="F7" s="262" t="s">
        <v>333</v>
      </c>
    </row>
    <row r="8" spans="1:6" ht="16.5" thickBot="1">
      <c r="A8" s="261" t="s">
        <v>336</v>
      </c>
      <c r="B8" s="262" t="s">
        <v>337</v>
      </c>
      <c r="C8" s="262" t="s">
        <v>337</v>
      </c>
      <c r="D8" s="262" t="s">
        <v>337</v>
      </c>
      <c r="E8" s="262" t="s">
        <v>337</v>
      </c>
      <c r="F8" s="262" t="s">
        <v>337</v>
      </c>
    </row>
    <row r="9" spans="1:6" ht="16.5" thickBot="1">
      <c r="A9" s="261" t="s">
        <v>338</v>
      </c>
      <c r="B9" s="262" t="s">
        <v>329</v>
      </c>
      <c r="C9" s="262" t="s">
        <v>330</v>
      </c>
      <c r="D9" s="262" t="s">
        <v>331</v>
      </c>
      <c r="E9" s="262" t="s">
        <v>332</v>
      </c>
      <c r="F9" s="262" t="s">
        <v>333</v>
      </c>
    </row>
    <row r="10" spans="1:6" ht="16.5" thickBot="1">
      <c r="A10" s="261" t="s">
        <v>339</v>
      </c>
      <c r="B10" s="262" t="s">
        <v>340</v>
      </c>
      <c r="C10" s="262" t="s">
        <v>340</v>
      </c>
      <c r="D10" s="262" t="s">
        <v>340</v>
      </c>
      <c r="E10" s="262" t="s">
        <v>340</v>
      </c>
      <c r="F10" s="262" t="s">
        <v>340</v>
      </c>
    </row>
    <row r="11" spans="1:6" ht="16.5" thickBot="1">
      <c r="A11" s="261" t="s">
        <v>341</v>
      </c>
      <c r="B11" s="262" t="s">
        <v>418</v>
      </c>
      <c r="C11" s="262" t="s">
        <v>418</v>
      </c>
      <c r="D11" s="262" t="s">
        <v>418</v>
      </c>
      <c r="E11" s="262" t="s">
        <v>343</v>
      </c>
      <c r="F11" s="262" t="s">
        <v>419</v>
      </c>
    </row>
    <row r="12" spans="1:6" ht="16.5" thickBot="1">
      <c r="A12" s="261" t="s">
        <v>345</v>
      </c>
      <c r="B12" s="262" t="s">
        <v>346</v>
      </c>
      <c r="C12" s="262" t="s">
        <v>346</v>
      </c>
      <c r="D12" s="262" t="s">
        <v>346</v>
      </c>
      <c r="E12" s="262" t="s">
        <v>346</v>
      </c>
      <c r="F12" s="262" t="s">
        <v>346</v>
      </c>
    </row>
    <row r="13" spans="1:6" ht="16.5" thickBot="1">
      <c r="A13" s="261" t="s">
        <v>347</v>
      </c>
      <c r="B13" s="262" t="s">
        <v>348</v>
      </c>
      <c r="C13" s="262" t="s">
        <v>348</v>
      </c>
      <c r="D13" s="262" t="s">
        <v>348</v>
      </c>
      <c r="E13" s="262" t="s">
        <v>348</v>
      </c>
      <c r="F13" s="262" t="s">
        <v>348</v>
      </c>
    </row>
    <row r="14" spans="1:6" ht="16.5" thickBot="1">
      <c r="A14" s="261" t="s">
        <v>349</v>
      </c>
      <c r="B14" s="262" t="s">
        <v>350</v>
      </c>
      <c r="C14" s="262" t="s">
        <v>351</v>
      </c>
      <c r="D14" s="262" t="s">
        <v>352</v>
      </c>
      <c r="E14" s="262" t="s">
        <v>353</v>
      </c>
      <c r="F14" s="262" t="s">
        <v>354</v>
      </c>
    </row>
    <row r="15" spans="1:6" ht="16.5" thickBot="1">
      <c r="A15" s="261" t="s">
        <v>355</v>
      </c>
      <c r="B15" s="262">
        <v>44959.883333333331</v>
      </c>
      <c r="C15" s="262">
        <v>44595.883333333331</v>
      </c>
      <c r="D15" s="262">
        <v>44231.892361111109</v>
      </c>
      <c r="E15" s="262">
        <v>43837.801388888889</v>
      </c>
      <c r="F15" s="262">
        <v>43488.902777777781</v>
      </c>
    </row>
    <row r="16" spans="1:6" ht="16.5" thickBot="1">
      <c r="A16" s="261" t="s">
        <v>356</v>
      </c>
      <c r="B16" s="262" t="s">
        <v>357</v>
      </c>
      <c r="C16" s="262" t="s">
        <v>357</v>
      </c>
      <c r="D16" s="262" t="s">
        <v>357</v>
      </c>
      <c r="E16" s="262" t="s">
        <v>357</v>
      </c>
      <c r="F16" s="262" t="s">
        <v>357</v>
      </c>
    </row>
    <row r="17" spans="1:6" ht="16.5" thickBot="1">
      <c r="A17" s="261" t="s">
        <v>358</v>
      </c>
      <c r="B17" s="262" t="s">
        <v>359</v>
      </c>
      <c r="C17" s="262" t="s">
        <v>359</v>
      </c>
      <c r="D17" s="262" t="s">
        <v>359</v>
      </c>
      <c r="E17" s="262" t="s">
        <v>359</v>
      </c>
      <c r="F17" s="262" t="s">
        <v>359</v>
      </c>
    </row>
    <row r="18" spans="1:6" ht="16.5" thickBot="1">
      <c r="A18" s="261" t="s">
        <v>360</v>
      </c>
      <c r="B18" s="262" t="s">
        <v>361</v>
      </c>
      <c r="C18" s="262" t="s">
        <v>361</v>
      </c>
      <c r="D18" s="262" t="s">
        <v>361</v>
      </c>
      <c r="E18" s="262" t="s">
        <v>361</v>
      </c>
      <c r="F18" s="262" t="s">
        <v>361</v>
      </c>
    </row>
    <row r="19" spans="1:6" ht="16.5" thickBot="1">
      <c r="A19" s="261" t="s">
        <v>362</v>
      </c>
      <c r="B19" s="262" t="s">
        <v>363</v>
      </c>
      <c r="C19" s="262" t="s">
        <v>363</v>
      </c>
      <c r="D19" s="262" t="s">
        <v>363</v>
      </c>
      <c r="E19" s="262" t="s">
        <v>363</v>
      </c>
      <c r="F19" s="262" t="s">
        <v>363</v>
      </c>
    </row>
    <row r="20" spans="1:6" ht="16.5" thickBot="1">
      <c r="A20" s="261" t="s">
        <v>364</v>
      </c>
      <c r="B20" s="262" t="s">
        <v>365</v>
      </c>
      <c r="C20" s="262" t="s">
        <v>365</v>
      </c>
      <c r="D20" s="262" t="s">
        <v>365</v>
      </c>
      <c r="E20" s="262" t="s">
        <v>365</v>
      </c>
      <c r="F20" s="262" t="s">
        <v>365</v>
      </c>
    </row>
    <row r="21" spans="1:6">
      <c r="A21" s="261" t="s">
        <v>366</v>
      </c>
      <c r="B21" s="262" t="s">
        <v>367</v>
      </c>
      <c r="C21" s="262" t="s">
        <v>367</v>
      </c>
      <c r="D21" s="262" t="s">
        <v>367</v>
      </c>
      <c r="E21" s="262" t="s">
        <v>367</v>
      </c>
      <c r="F21" s="262" t="s">
        <v>367</v>
      </c>
    </row>
    <row r="22" spans="1:6" ht="15.95" customHeight="1" thickBot="1">
      <c r="A22" s="263" t="s">
        <v>420</v>
      </c>
      <c r="B22" s="263"/>
      <c r="C22" s="263"/>
      <c r="D22" s="263"/>
      <c r="E22" s="263"/>
      <c r="F22" s="263"/>
    </row>
    <row r="23" spans="1:6" ht="16.5" thickBot="1">
      <c r="A23" s="266" t="s">
        <v>421</v>
      </c>
      <c r="B23" s="267">
        <v>44070</v>
      </c>
      <c r="C23" s="267">
        <v>49593</v>
      </c>
      <c r="D23" s="267">
        <v>49961</v>
      </c>
      <c r="E23" s="267">
        <v>34651</v>
      </c>
      <c r="F23" s="267">
        <v>33951</v>
      </c>
    </row>
    <row r="24" spans="1:6" ht="16.5" thickBot="1">
      <c r="A24" s="268" t="s">
        <v>422</v>
      </c>
      <c r="B24" s="269">
        <v>25134</v>
      </c>
      <c r="C24" s="269">
        <v>20540</v>
      </c>
      <c r="D24" s="269">
        <v>25243</v>
      </c>
      <c r="E24" s="269">
        <v>17504</v>
      </c>
      <c r="F24" s="269">
        <v>16718</v>
      </c>
    </row>
    <row r="25" spans="1:6" ht="16.5" thickBot="1">
      <c r="A25" s="268" t="s">
        <v>423</v>
      </c>
      <c r="B25" s="269">
        <v>18936</v>
      </c>
      <c r="C25" s="269">
        <v>29053</v>
      </c>
      <c r="D25" s="269">
        <v>24718</v>
      </c>
      <c r="E25" s="269">
        <v>17147</v>
      </c>
      <c r="F25" s="269">
        <v>17233</v>
      </c>
    </row>
    <row r="26" spans="1:6" ht="16.5" thickBot="1">
      <c r="A26" s="266" t="s">
        <v>424</v>
      </c>
      <c r="B26" s="267">
        <v>15916</v>
      </c>
      <c r="C26" s="267">
        <v>11495</v>
      </c>
      <c r="D26" s="267">
        <v>10174</v>
      </c>
      <c r="E26" s="267">
        <v>9237</v>
      </c>
      <c r="F26" s="267">
        <v>11195</v>
      </c>
    </row>
    <row r="27" spans="1:6" ht="16.5" thickBot="1">
      <c r="A27" s="268" t="s">
        <v>425</v>
      </c>
      <c r="B27" s="269">
        <v>16021</v>
      </c>
      <c r="C27" s="269">
        <v>11543</v>
      </c>
      <c r="D27" s="269">
        <v>10258</v>
      </c>
      <c r="E27" s="269">
        <v>9331</v>
      </c>
      <c r="F27" s="269">
        <v>11289</v>
      </c>
    </row>
    <row r="28" spans="1:6" ht="16.5" thickBot="1">
      <c r="A28" s="268" t="s">
        <v>426</v>
      </c>
      <c r="B28" s="269">
        <v>-105</v>
      </c>
      <c r="C28" s="269">
        <v>-48</v>
      </c>
      <c r="D28" s="269">
        <v>-84</v>
      </c>
      <c r="E28" s="269">
        <v>-94</v>
      </c>
      <c r="F28" s="269">
        <v>-94</v>
      </c>
    </row>
    <row r="29" spans="1:6" ht="16.5" thickBot="1">
      <c r="A29" s="266" t="s">
        <v>427</v>
      </c>
      <c r="B29" s="267">
        <v>54636</v>
      </c>
      <c r="C29" s="267">
        <v>44038</v>
      </c>
      <c r="D29" s="267">
        <v>52575</v>
      </c>
      <c r="E29" s="267">
        <v>62888</v>
      </c>
      <c r="F29" s="267">
        <v>65548</v>
      </c>
    </row>
    <row r="30" spans="1:6" ht="16.5" thickBot="1">
      <c r="A30" s="268" t="s">
        <v>428</v>
      </c>
      <c r="B30" s="269">
        <v>38720</v>
      </c>
      <c r="C30" s="269">
        <v>32543</v>
      </c>
      <c r="D30" s="269">
        <v>42401</v>
      </c>
      <c r="E30" s="269">
        <v>53651</v>
      </c>
      <c r="F30" s="269">
        <v>54353</v>
      </c>
    </row>
    <row r="31" spans="1:6" ht="16.5" thickBot="1">
      <c r="A31" s="266" t="s">
        <v>429</v>
      </c>
      <c r="B31" s="267">
        <v>14080</v>
      </c>
      <c r="C31" s="267">
        <v>12065</v>
      </c>
      <c r="D31" s="267">
        <v>10808</v>
      </c>
      <c r="E31" s="267">
        <v>10786</v>
      </c>
      <c r="F31" s="267">
        <v>11220</v>
      </c>
    </row>
    <row r="32" spans="1:6" ht="16.5" thickBot="1">
      <c r="A32" s="268" t="s">
        <v>430</v>
      </c>
      <c r="B32" s="269">
        <v>8083</v>
      </c>
      <c r="C32" s="269">
        <v>6280</v>
      </c>
      <c r="D32" s="269">
        <v>6132</v>
      </c>
      <c r="E32" s="269">
        <v>6384</v>
      </c>
      <c r="F32" s="269">
        <v>6684</v>
      </c>
    </row>
    <row r="33" spans="1:6" ht="16.5" thickBot="1">
      <c r="A33" s="268" t="s">
        <v>431</v>
      </c>
      <c r="B33" s="269">
        <v>5997</v>
      </c>
      <c r="C33" s="269">
        <v>5785</v>
      </c>
      <c r="D33" s="269">
        <v>4676</v>
      </c>
      <c r="E33" s="269">
        <v>4402</v>
      </c>
      <c r="F33" s="269">
        <v>4536</v>
      </c>
    </row>
    <row r="34" spans="1:6" ht="16.5" thickBot="1">
      <c r="A34" s="266" t="s">
        <v>432</v>
      </c>
      <c r="B34" s="267">
        <v>3690</v>
      </c>
      <c r="C34" s="267">
        <v>3300</v>
      </c>
      <c r="D34" s="267">
        <v>3400</v>
      </c>
      <c r="E34" s="267">
        <v>5722</v>
      </c>
      <c r="F34" s="267">
        <v>3930</v>
      </c>
    </row>
    <row r="35" spans="1:6" ht="16.5" thickBot="1">
      <c r="A35" s="268" t="s">
        <v>433</v>
      </c>
      <c r="B35" s="269">
        <v>97</v>
      </c>
      <c r="C35" s="269" t="s">
        <v>388</v>
      </c>
      <c r="D35" s="269">
        <v>47</v>
      </c>
      <c r="E35" s="269">
        <v>2383</v>
      </c>
      <c r="F35" s="269" t="s">
        <v>388</v>
      </c>
    </row>
    <row r="36" spans="1:6" ht="16.5" thickBot="1">
      <c r="A36" s="268" t="s">
        <v>434</v>
      </c>
      <c r="B36" s="269">
        <v>3593</v>
      </c>
      <c r="C36" s="269">
        <v>3300</v>
      </c>
      <c r="D36" s="269">
        <v>3353</v>
      </c>
      <c r="E36" s="269">
        <v>3339</v>
      </c>
      <c r="F36" s="269">
        <v>3930</v>
      </c>
    </row>
    <row r="37" spans="1:6" ht="16.5" thickBot="1">
      <c r="A37" s="264" t="s">
        <v>435</v>
      </c>
      <c r="B37" s="265">
        <v>116476</v>
      </c>
      <c r="C37" s="265">
        <v>108996</v>
      </c>
      <c r="D37" s="265">
        <v>116744</v>
      </c>
      <c r="E37" s="265">
        <v>114047</v>
      </c>
      <c r="F37" s="265">
        <v>114649</v>
      </c>
    </row>
    <row r="38" spans="1:6" ht="16.5" thickBot="1">
      <c r="A38" s="275"/>
      <c r="B38" s="275"/>
      <c r="C38" s="275"/>
      <c r="D38" s="275"/>
      <c r="E38" s="275"/>
      <c r="F38" s="275"/>
    </row>
    <row r="39" spans="1:6" ht="16.5" thickBot="1">
      <c r="A39" s="266" t="s">
        <v>436</v>
      </c>
      <c r="B39" s="267">
        <v>96548</v>
      </c>
      <c r="C39" s="267">
        <v>100800</v>
      </c>
      <c r="D39" s="267">
        <v>103704</v>
      </c>
      <c r="E39" s="267">
        <v>102290</v>
      </c>
      <c r="F39" s="267">
        <v>66421</v>
      </c>
    </row>
    <row r="40" spans="1:6" ht="16.5" thickBot="1">
      <c r="A40" s="268" t="s">
        <v>437</v>
      </c>
      <c r="B40" s="269">
        <v>11946</v>
      </c>
      <c r="C40" s="269">
        <v>12438</v>
      </c>
      <c r="D40" s="269">
        <v>12557</v>
      </c>
      <c r="E40" s="269">
        <v>11900</v>
      </c>
      <c r="F40" s="269">
        <v>11477</v>
      </c>
    </row>
    <row r="41" spans="1:6" ht="16.5" thickBot="1">
      <c r="A41" s="268" t="s">
        <v>438</v>
      </c>
      <c r="B41" s="269">
        <v>371</v>
      </c>
      <c r="C41" s="269">
        <v>450</v>
      </c>
      <c r="D41" s="269">
        <v>451</v>
      </c>
      <c r="E41" s="269">
        <v>421</v>
      </c>
      <c r="F41" s="269">
        <v>445</v>
      </c>
    </row>
    <row r="42" spans="1:6" ht="16.5" thickBot="1">
      <c r="A42" s="268" t="s">
        <v>439</v>
      </c>
      <c r="B42" s="269">
        <v>44006</v>
      </c>
      <c r="C42" s="269">
        <v>44234</v>
      </c>
      <c r="D42" s="269">
        <v>44363</v>
      </c>
      <c r="E42" s="269">
        <v>42630</v>
      </c>
      <c r="F42" s="269">
        <v>42069</v>
      </c>
    </row>
    <row r="43" spans="1:6" ht="16.5" thickBot="1">
      <c r="A43" s="268" t="s">
        <v>440</v>
      </c>
      <c r="B43" s="269">
        <v>3203</v>
      </c>
      <c r="C43" s="269">
        <v>2152</v>
      </c>
      <c r="D43" s="269">
        <v>1718</v>
      </c>
      <c r="E43" s="269">
        <v>1710</v>
      </c>
      <c r="F43" s="269">
        <v>2066</v>
      </c>
    </row>
    <row r="44" spans="1:6" ht="16.5" thickBot="1">
      <c r="A44" s="268" t="s">
        <v>441</v>
      </c>
      <c r="B44" s="269">
        <v>26055</v>
      </c>
      <c r="C44" s="269">
        <v>29982</v>
      </c>
      <c r="D44" s="269">
        <v>32486</v>
      </c>
      <c r="E44" s="269">
        <v>33386</v>
      </c>
      <c r="F44" s="269" t="s">
        <v>388</v>
      </c>
    </row>
    <row r="45" spans="1:6" ht="16.5" thickBot="1">
      <c r="A45" s="268" t="s">
        <v>442</v>
      </c>
      <c r="B45" s="269">
        <v>10967</v>
      </c>
      <c r="C45" s="269">
        <v>11544</v>
      </c>
      <c r="D45" s="269">
        <v>12129</v>
      </c>
      <c r="E45" s="269">
        <v>12243</v>
      </c>
      <c r="F45" s="269">
        <v>10364</v>
      </c>
    </row>
    <row r="46" spans="1:6" ht="16.5" thickBot="1">
      <c r="A46" s="266" t="s">
        <v>443</v>
      </c>
      <c r="B46" s="267">
        <v>61484</v>
      </c>
      <c r="C46" s="267">
        <v>64837</v>
      </c>
      <c r="D46" s="267">
        <v>66321</v>
      </c>
      <c r="E46" s="267">
        <v>67114</v>
      </c>
      <c r="F46" s="267">
        <v>65297</v>
      </c>
    </row>
    <row r="47" spans="1:6" ht="16.5" thickBot="1">
      <c r="A47" s="268" t="s">
        <v>444</v>
      </c>
      <c r="B47" s="269">
        <v>-36015</v>
      </c>
      <c r="C47" s="269">
        <v>-37157</v>
      </c>
      <c r="D47" s="269">
        <v>-38687</v>
      </c>
      <c r="E47" s="269">
        <v>-36788</v>
      </c>
      <c r="F47" s="269">
        <v>-30243</v>
      </c>
    </row>
    <row r="48" spans="1:6" ht="16.5" thickBot="1">
      <c r="A48" s="264" t="s">
        <v>445</v>
      </c>
      <c r="B48" s="265">
        <v>603</v>
      </c>
      <c r="C48" s="265">
        <v>619</v>
      </c>
      <c r="D48" s="265">
        <v>258</v>
      </c>
      <c r="E48" s="265">
        <v>278</v>
      </c>
      <c r="F48" s="265">
        <v>264</v>
      </c>
    </row>
    <row r="49" spans="1:6" ht="16.5" thickBot="1">
      <c r="A49" s="264" t="s">
        <v>446</v>
      </c>
      <c r="B49" s="265">
        <v>86</v>
      </c>
      <c r="C49" s="265">
        <v>111</v>
      </c>
      <c r="D49" s="265">
        <v>144</v>
      </c>
      <c r="E49" s="265">
        <v>188</v>
      </c>
      <c r="F49" s="265">
        <v>178</v>
      </c>
    </row>
    <row r="50" spans="1:6" ht="16.5" thickBot="1">
      <c r="A50" s="266" t="s">
        <v>447</v>
      </c>
      <c r="B50" s="267">
        <v>3198</v>
      </c>
      <c r="C50" s="267">
        <v>5445</v>
      </c>
      <c r="D50" s="267">
        <v>6601</v>
      </c>
      <c r="E50" s="267">
        <v>2519</v>
      </c>
      <c r="F50" s="267">
        <v>2709</v>
      </c>
    </row>
    <row r="51" spans="1:6" ht="16.5" thickBot="1">
      <c r="A51" s="268" t="s">
        <v>448</v>
      </c>
      <c r="B51" s="269">
        <v>2798</v>
      </c>
      <c r="C51" s="269">
        <v>4545</v>
      </c>
      <c r="D51" s="269">
        <v>4901</v>
      </c>
      <c r="E51" s="269">
        <v>2519</v>
      </c>
      <c r="F51" s="269">
        <v>2709</v>
      </c>
    </row>
    <row r="52" spans="1:6" ht="16.5" thickBot="1">
      <c r="A52" s="268" t="s">
        <v>449</v>
      </c>
      <c r="B52" s="269">
        <v>400</v>
      </c>
      <c r="C52" s="269">
        <v>900</v>
      </c>
      <c r="D52" s="269">
        <v>1700</v>
      </c>
      <c r="E52" s="269" t="s">
        <v>388</v>
      </c>
      <c r="F52" s="269" t="s">
        <v>388</v>
      </c>
    </row>
    <row r="53" spans="1:6" ht="16.5" thickBot="1">
      <c r="A53" s="264" t="s">
        <v>450</v>
      </c>
      <c r="B53" s="265">
        <v>49903</v>
      </c>
      <c r="C53" s="265">
        <v>51256</v>
      </c>
      <c r="D53" s="265">
        <v>55277</v>
      </c>
      <c r="E53" s="265">
        <v>53703</v>
      </c>
      <c r="F53" s="265">
        <v>55544</v>
      </c>
    </row>
    <row r="54" spans="1:6" ht="16.5" thickBot="1">
      <c r="A54" s="266" t="s">
        <v>451</v>
      </c>
      <c r="B54" s="267">
        <v>24134</v>
      </c>
      <c r="C54" s="267">
        <v>25771</v>
      </c>
      <c r="D54" s="267">
        <v>21916</v>
      </c>
      <c r="E54" s="267">
        <v>20688</v>
      </c>
      <c r="F54" s="267">
        <v>17899</v>
      </c>
    </row>
    <row r="55" spans="1:6" ht="16.5" thickBot="1">
      <c r="A55" s="268" t="s">
        <v>452</v>
      </c>
      <c r="B55" s="269">
        <v>15552</v>
      </c>
      <c r="C55" s="269">
        <v>13796</v>
      </c>
      <c r="D55" s="269">
        <v>12423</v>
      </c>
      <c r="E55" s="269">
        <v>11863</v>
      </c>
      <c r="F55" s="269">
        <v>10412</v>
      </c>
    </row>
    <row r="56" spans="1:6" ht="16.5" thickBot="1">
      <c r="A56" s="268" t="s">
        <v>453</v>
      </c>
      <c r="B56" s="269">
        <v>206</v>
      </c>
      <c r="C56" s="269">
        <v>197</v>
      </c>
      <c r="D56" s="269">
        <v>692</v>
      </c>
      <c r="E56" s="269">
        <v>175</v>
      </c>
      <c r="F56" s="269">
        <v>189</v>
      </c>
    </row>
    <row r="57" spans="1:6" ht="16.5" thickBot="1">
      <c r="A57" s="268" t="s">
        <v>454</v>
      </c>
      <c r="B57" s="269">
        <v>8376</v>
      </c>
      <c r="C57" s="269">
        <v>11778</v>
      </c>
      <c r="D57" s="269">
        <v>8801</v>
      </c>
      <c r="E57" s="269">
        <v>8650</v>
      </c>
      <c r="F57" s="269">
        <v>7298</v>
      </c>
    </row>
    <row r="58" spans="1:6" ht="16.5" thickBot="1">
      <c r="A58" s="264" t="s">
        <v>455</v>
      </c>
      <c r="B58" s="265">
        <v>255884</v>
      </c>
      <c r="C58" s="265">
        <v>257035</v>
      </c>
      <c r="D58" s="265">
        <v>267261</v>
      </c>
      <c r="E58" s="265">
        <v>258537</v>
      </c>
      <c r="F58" s="265">
        <v>256540</v>
      </c>
    </row>
    <row r="59" spans="1:6">
      <c r="A59" s="275"/>
      <c r="B59" s="275"/>
      <c r="C59" s="275"/>
      <c r="D59" s="275"/>
      <c r="E59" s="275"/>
      <c r="F59" s="275"/>
    </row>
    <row r="60" spans="1:6" ht="15.95" customHeight="1" thickBot="1">
      <c r="A60" s="263" t="s">
        <v>456</v>
      </c>
      <c r="B60" s="263"/>
      <c r="C60" s="263"/>
      <c r="D60" s="263"/>
      <c r="E60" s="263"/>
      <c r="F60" s="263"/>
    </row>
    <row r="61" spans="1:6" ht="16.5" thickBot="1">
      <c r="A61" s="264" t="s">
        <v>457</v>
      </c>
      <c r="B61" s="265">
        <v>25605</v>
      </c>
      <c r="C61" s="265">
        <v>22349</v>
      </c>
      <c r="D61" s="265">
        <v>22204</v>
      </c>
      <c r="E61" s="265">
        <v>20673</v>
      </c>
      <c r="F61" s="265">
        <v>21520</v>
      </c>
    </row>
    <row r="62" spans="1:6" ht="16.5" thickBot="1">
      <c r="A62" s="264" t="s">
        <v>458</v>
      </c>
      <c r="B62" s="265">
        <v>3884</v>
      </c>
      <c r="C62" s="265">
        <v>3454</v>
      </c>
      <c r="D62" s="265">
        <v>3822</v>
      </c>
      <c r="E62" s="265">
        <v>3869</v>
      </c>
      <c r="F62" s="265">
        <v>3286</v>
      </c>
    </row>
    <row r="63" spans="1:6" ht="16.5" thickBot="1">
      <c r="A63" s="264" t="s">
        <v>459</v>
      </c>
      <c r="B63" s="265">
        <v>19983</v>
      </c>
      <c r="C63" s="265">
        <v>15096</v>
      </c>
      <c r="D63" s="265">
        <v>12042</v>
      </c>
      <c r="E63" s="265">
        <v>14032</v>
      </c>
      <c r="F63" s="265">
        <v>15319</v>
      </c>
    </row>
    <row r="64" spans="1:6" ht="16.5" thickBot="1">
      <c r="A64" s="264" t="s">
        <v>460</v>
      </c>
      <c r="B64" s="265">
        <v>30181</v>
      </c>
      <c r="C64" s="265">
        <v>34596</v>
      </c>
      <c r="D64" s="265">
        <v>39301</v>
      </c>
      <c r="E64" s="265">
        <v>39914</v>
      </c>
      <c r="F64" s="265">
        <v>38174</v>
      </c>
    </row>
    <row r="65" spans="1:6" ht="16.5" thickBot="1">
      <c r="A65" s="266" t="s">
        <v>461</v>
      </c>
      <c r="B65" s="267">
        <v>17213</v>
      </c>
      <c r="C65" s="267">
        <v>15232</v>
      </c>
      <c r="D65" s="267">
        <v>19823</v>
      </c>
      <c r="E65" s="267">
        <v>19644</v>
      </c>
      <c r="F65" s="267">
        <v>17270</v>
      </c>
    </row>
    <row r="66" spans="1:6" ht="16.5" thickBot="1">
      <c r="A66" s="268" t="s">
        <v>462</v>
      </c>
      <c r="B66" s="269">
        <v>2404</v>
      </c>
      <c r="C66" s="269">
        <v>2349</v>
      </c>
      <c r="D66" s="269">
        <v>2161</v>
      </c>
      <c r="E66" s="269">
        <v>2091</v>
      </c>
      <c r="F66" s="269">
        <v>2095</v>
      </c>
    </row>
    <row r="67" spans="1:6" ht="16.5" thickBot="1">
      <c r="A67" s="268" t="s">
        <v>463</v>
      </c>
      <c r="B67" s="269" t="s">
        <v>388</v>
      </c>
      <c r="C67" s="269" t="s">
        <v>388</v>
      </c>
      <c r="D67" s="269">
        <v>0</v>
      </c>
      <c r="E67" s="269">
        <v>526</v>
      </c>
      <c r="F67" s="269" t="s">
        <v>388</v>
      </c>
    </row>
    <row r="68" spans="1:6" ht="16.5" thickBot="1">
      <c r="A68" s="268" t="s">
        <v>464</v>
      </c>
      <c r="B68" s="269">
        <v>14809</v>
      </c>
      <c r="C68" s="269">
        <v>12883</v>
      </c>
      <c r="D68" s="269">
        <v>17662</v>
      </c>
      <c r="E68" s="269">
        <v>17027</v>
      </c>
      <c r="F68" s="269">
        <v>15175</v>
      </c>
    </row>
    <row r="69" spans="1:6" ht="16.5" thickBot="1">
      <c r="A69" s="264" t="s">
        <v>465</v>
      </c>
      <c r="B69" s="265">
        <v>96866</v>
      </c>
      <c r="C69" s="265">
        <v>90727</v>
      </c>
      <c r="D69" s="265">
        <v>97192</v>
      </c>
      <c r="E69" s="265">
        <v>98132</v>
      </c>
      <c r="F69" s="265">
        <v>95569</v>
      </c>
    </row>
    <row r="70" spans="1:6" ht="16.5" thickBot="1">
      <c r="A70" s="275"/>
      <c r="B70" s="275"/>
      <c r="C70" s="275"/>
      <c r="D70" s="275"/>
      <c r="E70" s="275"/>
      <c r="F70" s="275"/>
    </row>
    <row r="71" spans="1:6" ht="16.5" thickBot="1">
      <c r="A71" s="266" t="s">
        <v>466</v>
      </c>
      <c r="B71" s="267">
        <v>88805</v>
      </c>
      <c r="C71" s="267">
        <v>88400</v>
      </c>
      <c r="D71" s="267">
        <v>110341</v>
      </c>
      <c r="E71" s="267">
        <v>101361</v>
      </c>
      <c r="F71" s="267">
        <v>100720</v>
      </c>
    </row>
    <row r="72" spans="1:6" ht="16.5" thickBot="1">
      <c r="A72" s="268" t="s">
        <v>467</v>
      </c>
      <c r="B72" s="269">
        <v>88317</v>
      </c>
      <c r="C72" s="269">
        <v>87911</v>
      </c>
      <c r="D72" s="269">
        <v>109973</v>
      </c>
      <c r="E72" s="269">
        <v>101276</v>
      </c>
      <c r="F72" s="269">
        <v>100720</v>
      </c>
    </row>
    <row r="73" spans="1:6" ht="16.5" thickBot="1">
      <c r="A73" s="268" t="s">
        <v>468</v>
      </c>
      <c r="B73" s="269">
        <v>488</v>
      </c>
      <c r="C73" s="269">
        <v>489</v>
      </c>
      <c r="D73" s="269">
        <v>368</v>
      </c>
      <c r="E73" s="269">
        <v>85</v>
      </c>
      <c r="F73" s="269" t="s">
        <v>388</v>
      </c>
    </row>
    <row r="74" spans="1:6" ht="16.5" thickBot="1">
      <c r="A74" s="264" t="s">
        <v>469</v>
      </c>
      <c r="B74" s="265">
        <v>138969</v>
      </c>
      <c r="C74" s="265">
        <v>138092</v>
      </c>
      <c r="D74" s="265">
        <v>161684</v>
      </c>
      <c r="E74" s="265">
        <v>155307</v>
      </c>
      <c r="F74" s="265">
        <v>154213</v>
      </c>
    </row>
    <row r="75" spans="1:6" ht="16.5" thickBot="1">
      <c r="A75" s="266" t="s">
        <v>470</v>
      </c>
      <c r="B75" s="267">
        <v>1549</v>
      </c>
      <c r="C75" s="267">
        <v>1581</v>
      </c>
      <c r="D75" s="267">
        <v>538</v>
      </c>
      <c r="E75" s="267">
        <v>490</v>
      </c>
      <c r="F75" s="267">
        <v>597</v>
      </c>
    </row>
    <row r="76" spans="1:6" ht="16.5" thickBot="1">
      <c r="A76" s="268" t="s">
        <v>471</v>
      </c>
      <c r="B76" s="269">
        <v>1549</v>
      </c>
      <c r="C76" s="269">
        <v>1581</v>
      </c>
      <c r="D76" s="269">
        <v>538</v>
      </c>
      <c r="E76" s="269">
        <v>490</v>
      </c>
      <c r="F76" s="269">
        <v>597</v>
      </c>
    </row>
    <row r="77" spans="1:6" ht="16.5" thickBot="1">
      <c r="A77" s="264" t="s">
        <v>472</v>
      </c>
      <c r="B77" s="265">
        <v>-75</v>
      </c>
      <c r="C77" s="265">
        <v>103</v>
      </c>
      <c r="D77" s="265">
        <v>121</v>
      </c>
      <c r="E77" s="265">
        <v>45</v>
      </c>
      <c r="F77" s="265">
        <v>134</v>
      </c>
    </row>
    <row r="78" spans="1:6" ht="16.5" thickBot="1">
      <c r="A78" s="266" t="s">
        <v>473</v>
      </c>
      <c r="B78" s="267">
        <v>25497</v>
      </c>
      <c r="C78" s="267">
        <v>27705</v>
      </c>
      <c r="D78" s="267">
        <v>28379</v>
      </c>
      <c r="E78" s="267">
        <v>25324</v>
      </c>
      <c r="F78" s="267">
        <v>23588</v>
      </c>
    </row>
    <row r="79" spans="1:6" ht="16.5" thickBot="1">
      <c r="A79" s="268" t="s">
        <v>474</v>
      </c>
      <c r="B79" s="269">
        <v>10637</v>
      </c>
      <c r="C79" s="269">
        <v>15373</v>
      </c>
      <c r="D79" s="269">
        <v>18048</v>
      </c>
      <c r="E79" s="269">
        <v>16722</v>
      </c>
      <c r="F79" s="269">
        <v>15723</v>
      </c>
    </row>
    <row r="80" spans="1:6" ht="16.5" thickBot="1">
      <c r="A80" s="268" t="s">
        <v>475</v>
      </c>
      <c r="B80" s="269">
        <v>14860</v>
      </c>
      <c r="C80" s="269">
        <v>12332</v>
      </c>
      <c r="D80" s="269">
        <v>10331</v>
      </c>
      <c r="E80" s="269">
        <v>8602</v>
      </c>
      <c r="F80" s="269">
        <v>7865</v>
      </c>
    </row>
    <row r="81" spans="1:6" ht="16.5" thickBot="1">
      <c r="A81" s="264" t="s">
        <v>476</v>
      </c>
      <c r="B81" s="265">
        <v>212642</v>
      </c>
      <c r="C81" s="265">
        <v>208516</v>
      </c>
      <c r="D81" s="265">
        <v>236571</v>
      </c>
      <c r="E81" s="265">
        <v>225352</v>
      </c>
      <c r="F81" s="265">
        <v>220608</v>
      </c>
    </row>
    <row r="82" spans="1:6">
      <c r="A82" s="275"/>
      <c r="B82" s="275"/>
      <c r="C82" s="275"/>
      <c r="D82" s="275"/>
      <c r="E82" s="275"/>
      <c r="F82" s="275"/>
    </row>
    <row r="83" spans="1:6" ht="15.95" customHeight="1" thickBot="1">
      <c r="A83" s="263" t="s">
        <v>477</v>
      </c>
      <c r="B83" s="263"/>
      <c r="C83" s="263"/>
      <c r="D83" s="263"/>
      <c r="E83" s="263"/>
      <c r="F83" s="263"/>
    </row>
    <row r="84" spans="1:6" ht="16.5" thickBot="1">
      <c r="A84" s="266" t="s">
        <v>478</v>
      </c>
      <c r="B84" s="267">
        <v>42</v>
      </c>
      <c r="C84" s="267">
        <v>41</v>
      </c>
      <c r="D84" s="267">
        <v>41</v>
      </c>
      <c r="E84" s="267">
        <v>41</v>
      </c>
      <c r="F84" s="267">
        <v>41</v>
      </c>
    </row>
    <row r="85" spans="1:6" ht="16.5" thickBot="1">
      <c r="A85" s="268" t="s">
        <v>479</v>
      </c>
      <c r="B85" s="269">
        <v>42</v>
      </c>
      <c r="C85" s="269">
        <v>41</v>
      </c>
      <c r="D85" s="269">
        <v>41</v>
      </c>
      <c r="E85" s="269">
        <v>41</v>
      </c>
      <c r="F85" s="269">
        <v>41</v>
      </c>
    </row>
    <row r="86" spans="1:6" ht="16.5" thickBot="1">
      <c r="A86" s="264" t="s">
        <v>480</v>
      </c>
      <c r="B86" s="265">
        <v>22832</v>
      </c>
      <c r="C86" s="265">
        <v>22611</v>
      </c>
      <c r="D86" s="265">
        <v>22290</v>
      </c>
      <c r="E86" s="265">
        <v>22165</v>
      </c>
      <c r="F86" s="265">
        <v>22006</v>
      </c>
    </row>
    <row r="87" spans="1:6" ht="16.5" thickBot="1">
      <c r="A87" s="264" t="s">
        <v>481</v>
      </c>
      <c r="B87" s="265">
        <v>31754</v>
      </c>
      <c r="C87" s="265">
        <v>35769</v>
      </c>
      <c r="D87" s="265">
        <v>18243</v>
      </c>
      <c r="E87" s="265">
        <v>20320</v>
      </c>
      <c r="F87" s="265">
        <v>22668</v>
      </c>
    </row>
    <row r="88" spans="1:6" ht="16.5" thickBot="1">
      <c r="A88" s="264" t="s">
        <v>482</v>
      </c>
      <c r="B88" s="265">
        <v>-2047</v>
      </c>
      <c r="C88" s="265">
        <v>-1563</v>
      </c>
      <c r="D88" s="265">
        <v>-1590</v>
      </c>
      <c r="E88" s="265">
        <v>-1613</v>
      </c>
      <c r="F88" s="265">
        <v>-1417</v>
      </c>
    </row>
    <row r="89" spans="1:6" ht="16.5" thickBot="1">
      <c r="A89" s="264" t="s">
        <v>483</v>
      </c>
      <c r="B89" s="265">
        <v>-442</v>
      </c>
      <c r="C89" s="265">
        <v>-19</v>
      </c>
      <c r="D89" s="265">
        <v>156</v>
      </c>
      <c r="E89" s="265">
        <v>71</v>
      </c>
      <c r="F89" s="265">
        <v>-59</v>
      </c>
    </row>
    <row r="90" spans="1:6" ht="16.5" thickBot="1">
      <c r="A90" s="266" t="s">
        <v>484</v>
      </c>
      <c r="B90" s="267">
        <v>-8897</v>
      </c>
      <c r="C90" s="267">
        <v>-8320</v>
      </c>
      <c r="D90" s="267">
        <v>-8450</v>
      </c>
      <c r="E90" s="267">
        <v>-7799</v>
      </c>
      <c r="F90" s="267">
        <v>-7307</v>
      </c>
    </row>
    <row r="91" spans="1:6" ht="16.5" thickBot="1">
      <c r="A91" s="268" t="s">
        <v>485</v>
      </c>
      <c r="B91" s="269">
        <v>-6416</v>
      </c>
      <c r="C91" s="269">
        <v>-5487</v>
      </c>
      <c r="D91" s="269">
        <v>-5526</v>
      </c>
      <c r="E91" s="269">
        <v>-4626</v>
      </c>
      <c r="F91" s="269">
        <v>-4800</v>
      </c>
    </row>
    <row r="92" spans="1:6" ht="16.5" thickBot="1">
      <c r="A92" s="268" t="s">
        <v>486</v>
      </c>
      <c r="B92" s="269">
        <v>-2610</v>
      </c>
      <c r="C92" s="269">
        <v>-2640</v>
      </c>
      <c r="D92" s="269">
        <v>-2658</v>
      </c>
      <c r="E92" s="269">
        <v>-2685</v>
      </c>
      <c r="F92" s="269">
        <v>-2708</v>
      </c>
    </row>
    <row r="93" spans="1:6" ht="16.5" thickBot="1">
      <c r="A93" s="268" t="s">
        <v>487</v>
      </c>
      <c r="B93" s="269">
        <v>129</v>
      </c>
      <c r="C93" s="269">
        <v>-193</v>
      </c>
      <c r="D93" s="269">
        <v>-266</v>
      </c>
      <c r="E93" s="269">
        <v>-488</v>
      </c>
      <c r="F93" s="269">
        <v>201</v>
      </c>
    </row>
    <row r="94" spans="1:6" ht="16.5" thickBot="1">
      <c r="A94" s="264" t="s">
        <v>488</v>
      </c>
      <c r="B94" s="265">
        <v>43242</v>
      </c>
      <c r="C94" s="265">
        <v>48519</v>
      </c>
      <c r="D94" s="265">
        <v>30690</v>
      </c>
      <c r="E94" s="265">
        <v>33185</v>
      </c>
      <c r="F94" s="265">
        <v>35932</v>
      </c>
    </row>
    <row r="95" spans="1:6" ht="16.5" thickBot="1">
      <c r="A95" s="275"/>
      <c r="B95" s="275"/>
      <c r="C95" s="275"/>
      <c r="D95" s="275"/>
      <c r="E95" s="275"/>
      <c r="F95" s="275"/>
    </row>
    <row r="96" spans="1:6" ht="16.5" thickBot="1">
      <c r="A96" s="264" t="s">
        <v>489</v>
      </c>
      <c r="B96" s="265">
        <v>255884</v>
      </c>
      <c r="C96" s="265">
        <v>257035</v>
      </c>
      <c r="D96" s="265">
        <v>267261</v>
      </c>
      <c r="E96" s="265">
        <v>258537</v>
      </c>
      <c r="F96" s="265">
        <v>256540</v>
      </c>
    </row>
    <row r="97" spans="1:6">
      <c r="A97" s="275"/>
      <c r="B97" s="275"/>
      <c r="C97" s="275"/>
      <c r="D97" s="275"/>
      <c r="E97" s="275"/>
      <c r="F97" s="275"/>
    </row>
    <row r="98" spans="1:6" ht="15.95" customHeight="1" thickBot="1">
      <c r="A98" s="263" t="s">
        <v>490</v>
      </c>
      <c r="B98" s="263"/>
      <c r="C98" s="263"/>
      <c r="D98" s="263"/>
      <c r="E98" s="263"/>
      <c r="F98" s="263"/>
    </row>
    <row r="99" spans="1:6" ht="16.5" thickBot="1">
      <c r="A99" s="264" t="s">
        <v>491</v>
      </c>
      <c r="B99" s="265">
        <v>71</v>
      </c>
      <c r="C99" s="265">
        <v>71</v>
      </c>
      <c r="D99" s="265">
        <v>71</v>
      </c>
      <c r="E99" s="265">
        <v>71</v>
      </c>
      <c r="F99" s="265">
        <v>71</v>
      </c>
    </row>
    <row r="100" spans="1:6" ht="16.5" thickBot="1">
      <c r="A100" s="266" t="s">
        <v>492</v>
      </c>
      <c r="B100" s="267">
        <v>4139</v>
      </c>
      <c r="C100" s="267">
        <v>4121</v>
      </c>
      <c r="D100" s="267">
        <v>4096</v>
      </c>
      <c r="E100" s="267">
        <v>4082</v>
      </c>
      <c r="F100" s="267">
        <v>4071</v>
      </c>
    </row>
    <row r="101" spans="1:6" ht="16.5" thickBot="1">
      <c r="A101" s="268" t="s">
        <v>493</v>
      </c>
      <c r="B101" s="269">
        <v>4068</v>
      </c>
      <c r="C101" s="269">
        <v>4050</v>
      </c>
      <c r="D101" s="269">
        <v>4025</v>
      </c>
      <c r="E101" s="269">
        <v>4011</v>
      </c>
      <c r="F101" s="269">
        <v>4000</v>
      </c>
    </row>
    <row r="102" spans="1:6" ht="16.5" thickBot="1">
      <c r="A102" s="264" t="s">
        <v>494</v>
      </c>
      <c r="B102" s="265">
        <v>0</v>
      </c>
      <c r="C102" s="265">
        <v>0</v>
      </c>
      <c r="D102" s="265">
        <v>0</v>
      </c>
      <c r="E102" s="265">
        <v>0</v>
      </c>
      <c r="F102" s="265">
        <v>0</v>
      </c>
    </row>
    <row r="103" spans="1:6" ht="16.5" thickBot="1">
      <c r="A103" s="264" t="s">
        <v>495</v>
      </c>
      <c r="B103" s="265">
        <v>0</v>
      </c>
      <c r="C103" s="265">
        <v>0</v>
      </c>
      <c r="D103" s="265">
        <v>0</v>
      </c>
      <c r="E103" s="265">
        <v>0</v>
      </c>
      <c r="F103" s="265">
        <v>0</v>
      </c>
    </row>
    <row r="104" spans="1:6" ht="16.5" thickBot="1">
      <c r="A104" s="264" t="s">
        <v>496</v>
      </c>
      <c r="B104" s="265" t="s">
        <v>388</v>
      </c>
      <c r="C104" s="265" t="s">
        <v>388</v>
      </c>
      <c r="D104" s="265" t="s">
        <v>388</v>
      </c>
      <c r="E104" s="265">
        <v>0</v>
      </c>
      <c r="F104" s="265">
        <v>100</v>
      </c>
    </row>
    <row r="105" spans="1:6" ht="16.5" thickBot="1">
      <c r="A105" s="264" t="s">
        <v>497</v>
      </c>
      <c r="B105" s="265">
        <v>-75</v>
      </c>
      <c r="C105" s="265">
        <v>103</v>
      </c>
      <c r="D105" s="265">
        <v>121</v>
      </c>
      <c r="E105" s="265">
        <v>45</v>
      </c>
      <c r="F105" s="265">
        <v>34</v>
      </c>
    </row>
    <row r="106" spans="1:6" ht="16.5" thickBot="1">
      <c r="A106" s="264" t="s">
        <v>498</v>
      </c>
      <c r="B106" s="265">
        <v>43167</v>
      </c>
      <c r="C106" s="265">
        <v>48622</v>
      </c>
      <c r="D106" s="265">
        <v>30811</v>
      </c>
      <c r="E106" s="265">
        <v>33230</v>
      </c>
      <c r="F106" s="265">
        <v>35966</v>
      </c>
    </row>
    <row r="107" spans="1:6" ht="16.5" thickBot="1">
      <c r="A107" s="264" t="s">
        <v>499</v>
      </c>
      <c r="B107" s="265">
        <v>173000</v>
      </c>
      <c r="C107" s="265">
        <v>183000</v>
      </c>
      <c r="D107" s="265">
        <v>186000</v>
      </c>
      <c r="E107" s="265">
        <v>190000</v>
      </c>
      <c r="F107" s="265">
        <v>199000</v>
      </c>
    </row>
    <row r="108" spans="1:6" ht="16.5" thickBot="1">
      <c r="A108" s="264" t="s">
        <v>500</v>
      </c>
      <c r="B108" s="265">
        <v>104342</v>
      </c>
      <c r="C108" s="265">
        <v>107225</v>
      </c>
      <c r="D108" s="265">
        <v>110705</v>
      </c>
      <c r="E108" s="265">
        <v>112621</v>
      </c>
      <c r="F108" s="265">
        <v>116764</v>
      </c>
    </row>
    <row r="109" spans="1:6" ht="16.5" thickBot="1">
      <c r="A109" s="264" t="s">
        <v>501</v>
      </c>
      <c r="B109" s="265">
        <v>951</v>
      </c>
      <c r="C109" s="265">
        <v>1194</v>
      </c>
      <c r="D109" s="265">
        <v>1304</v>
      </c>
      <c r="E109" s="265">
        <v>1612</v>
      </c>
      <c r="F109" s="265">
        <v>29119</v>
      </c>
    </row>
    <row r="110" spans="1:6" ht="16.5" thickBot="1">
      <c r="A110" s="264" t="s">
        <v>502</v>
      </c>
      <c r="B110" s="265">
        <v>86</v>
      </c>
      <c r="C110" s="265">
        <v>111</v>
      </c>
      <c r="D110" s="265">
        <v>144</v>
      </c>
      <c r="E110" s="265">
        <v>188</v>
      </c>
      <c r="F110" s="265">
        <v>178</v>
      </c>
    </row>
    <row r="111" spans="1:6" ht="16.5" thickBot="1">
      <c r="A111" s="264" t="s">
        <v>503</v>
      </c>
      <c r="B111" s="265">
        <v>603</v>
      </c>
      <c r="C111" s="265">
        <v>619</v>
      </c>
      <c r="D111" s="265">
        <v>258</v>
      </c>
      <c r="E111" s="265">
        <v>278</v>
      </c>
      <c r="F111" s="265">
        <v>264</v>
      </c>
    </row>
    <row r="112" spans="1:6" ht="16.5" thickBot="1">
      <c r="A112" s="264" t="s">
        <v>504</v>
      </c>
      <c r="B112" s="265">
        <v>6</v>
      </c>
      <c r="C112" s="265">
        <v>6</v>
      </c>
      <c r="D112" s="265">
        <v>6</v>
      </c>
      <c r="E112" s="265" t="s">
        <v>388</v>
      </c>
      <c r="F112" s="265" t="s">
        <v>388</v>
      </c>
    </row>
    <row r="113" spans="1:6" ht="16.5" thickBot="1">
      <c r="A113" s="264" t="s">
        <v>505</v>
      </c>
      <c r="B113" s="265">
        <v>12</v>
      </c>
      <c r="C113" s="265">
        <v>12</v>
      </c>
      <c r="D113" s="265">
        <v>15</v>
      </c>
      <c r="E113" s="265" t="s">
        <v>388</v>
      </c>
      <c r="F113" s="265" t="s">
        <v>388</v>
      </c>
    </row>
    <row r="114" spans="1:6" ht="16.5" thickBot="1">
      <c r="A114" s="264" t="s">
        <v>506</v>
      </c>
      <c r="B114" s="265">
        <v>4</v>
      </c>
      <c r="C114" s="265">
        <v>3</v>
      </c>
      <c r="D114" s="265">
        <v>4</v>
      </c>
      <c r="E114" s="265" t="s">
        <v>388</v>
      </c>
      <c r="F114" s="265" t="s">
        <v>388</v>
      </c>
    </row>
    <row r="115" spans="1:6" ht="16.5" thickBot="1">
      <c r="A115" s="264" t="s">
        <v>507</v>
      </c>
      <c r="B115" s="265">
        <v>4</v>
      </c>
      <c r="C115" s="265">
        <v>3</v>
      </c>
      <c r="D115" s="265">
        <v>4</v>
      </c>
      <c r="E115" s="265" t="s">
        <v>388</v>
      </c>
      <c r="F115" s="265" t="s">
        <v>388</v>
      </c>
    </row>
    <row r="116" spans="1:6" ht="16.5" thickBot="1">
      <c r="A116" s="264" t="s">
        <v>508</v>
      </c>
      <c r="B116" s="265">
        <v>682</v>
      </c>
      <c r="C116" s="265">
        <v>647</v>
      </c>
      <c r="D116" s="265">
        <v>490</v>
      </c>
      <c r="E116" s="265">
        <v>209</v>
      </c>
      <c r="F116" s="265" t="s">
        <v>388</v>
      </c>
    </row>
    <row r="117" spans="1:6" ht="16.5" thickBot="1">
      <c r="A117" s="264" t="s">
        <v>509</v>
      </c>
      <c r="B117" s="265">
        <v>1473</v>
      </c>
      <c r="C117" s="265">
        <v>1362</v>
      </c>
      <c r="D117" s="265">
        <v>1030</v>
      </c>
      <c r="E117" s="265">
        <v>461</v>
      </c>
      <c r="F117" s="265" t="s">
        <v>388</v>
      </c>
    </row>
    <row r="118" spans="1:6" ht="16.5" thickBot="1">
      <c r="A118" s="264" t="s">
        <v>510</v>
      </c>
      <c r="B118" s="265">
        <v>109</v>
      </c>
      <c r="C118" s="265">
        <v>68</v>
      </c>
      <c r="D118" s="265">
        <v>50</v>
      </c>
      <c r="E118" s="265">
        <v>43</v>
      </c>
      <c r="F118" s="265" t="s">
        <v>388</v>
      </c>
    </row>
    <row r="119" spans="1:6" ht="16.5" thickBot="1">
      <c r="A119" s="264" t="s">
        <v>511</v>
      </c>
      <c r="B119" s="265">
        <v>1447</v>
      </c>
      <c r="C119" s="265">
        <v>1337</v>
      </c>
      <c r="D119" s="265">
        <v>1287</v>
      </c>
      <c r="E119" s="265">
        <v>1415</v>
      </c>
      <c r="F119" s="265" t="s">
        <v>388</v>
      </c>
    </row>
    <row r="120" spans="1:6" ht="16.5" thickBot="1">
      <c r="A120" s="264" t="s">
        <v>512</v>
      </c>
      <c r="B120" s="265">
        <v>1447</v>
      </c>
      <c r="C120" s="265">
        <v>1337</v>
      </c>
      <c r="D120" s="265">
        <v>1287</v>
      </c>
      <c r="E120" s="265">
        <v>1415</v>
      </c>
      <c r="F120" s="265" t="s">
        <v>388</v>
      </c>
    </row>
    <row r="121" spans="1:6" ht="16.5" thickBot="1">
      <c r="A121" s="264" t="s">
        <v>513</v>
      </c>
      <c r="B121" s="265">
        <v>2404</v>
      </c>
      <c r="C121" s="265">
        <v>2349</v>
      </c>
      <c r="D121" s="265">
        <v>2161</v>
      </c>
      <c r="E121" s="265">
        <v>2091</v>
      </c>
      <c r="F121" s="265">
        <v>2095</v>
      </c>
    </row>
    <row r="122" spans="1:6" ht="16.5" thickBot="1">
      <c r="A122" s="264" t="s">
        <v>514</v>
      </c>
      <c r="B122" s="265">
        <v>4883</v>
      </c>
      <c r="C122" s="265">
        <v>4683</v>
      </c>
      <c r="D122" s="265">
        <v>4559</v>
      </c>
      <c r="E122" s="265">
        <v>4191</v>
      </c>
      <c r="F122" s="265">
        <v>3985</v>
      </c>
    </row>
    <row r="123" spans="1:6" ht="16.5" thickBot="1">
      <c r="A123" s="264" t="s">
        <v>515</v>
      </c>
      <c r="B123" s="265">
        <v>29810</v>
      </c>
      <c r="C123" s="265">
        <v>31707</v>
      </c>
      <c r="D123" s="265">
        <v>38540</v>
      </c>
      <c r="E123" s="265">
        <v>38654</v>
      </c>
      <c r="F123" s="265">
        <v>36474</v>
      </c>
    </row>
    <row r="124" spans="1:6" ht="16.5" thickBot="1">
      <c r="A124" s="264" t="s">
        <v>516</v>
      </c>
      <c r="B124" s="265">
        <v>69605</v>
      </c>
      <c r="C124" s="265">
        <v>71200</v>
      </c>
      <c r="D124" s="265">
        <v>87708</v>
      </c>
      <c r="E124" s="265">
        <v>87658</v>
      </c>
      <c r="F124" s="265">
        <v>88887</v>
      </c>
    </row>
    <row r="125" spans="1:6" ht="16.5" thickBot="1">
      <c r="A125" s="264" t="s">
        <v>517</v>
      </c>
      <c r="B125" s="265">
        <v>86</v>
      </c>
      <c r="C125" s="265">
        <v>76</v>
      </c>
      <c r="D125" s="265">
        <v>46</v>
      </c>
      <c r="E125" s="265">
        <v>92</v>
      </c>
      <c r="F125" s="265" t="s">
        <v>388</v>
      </c>
    </row>
    <row r="126" spans="1:6" ht="16.5" thickBot="1">
      <c r="A126" s="264" t="s">
        <v>518</v>
      </c>
      <c r="B126" s="265">
        <v>404</v>
      </c>
      <c r="C126" s="265">
        <v>345</v>
      </c>
      <c r="D126" s="265">
        <v>323</v>
      </c>
      <c r="E126" s="265">
        <v>367</v>
      </c>
      <c r="F126" s="265" t="s">
        <v>388</v>
      </c>
    </row>
    <row r="127" spans="1:6" ht="16.5" thickBot="1">
      <c r="A127" s="264" t="s">
        <v>519</v>
      </c>
      <c r="B127" s="265">
        <v>1101</v>
      </c>
      <c r="C127" s="265">
        <v>1048</v>
      </c>
      <c r="D127" s="265">
        <v>991</v>
      </c>
      <c r="E127" s="265">
        <v>1047</v>
      </c>
      <c r="F127" s="265" t="s">
        <v>388</v>
      </c>
    </row>
    <row r="128" spans="1:6" ht="16.5" thickBot="1">
      <c r="A128" s="264" t="s">
        <v>520</v>
      </c>
      <c r="B128" s="265">
        <v>1300</v>
      </c>
      <c r="C128" s="265" t="s">
        <v>388</v>
      </c>
      <c r="D128" s="265" t="s">
        <v>388</v>
      </c>
      <c r="E128" s="265">
        <v>772</v>
      </c>
      <c r="F128" s="265">
        <v>913</v>
      </c>
    </row>
    <row r="129" spans="1:6" ht="16.5" thickBot="1">
      <c r="A129" s="264" t="s">
        <v>521</v>
      </c>
      <c r="B129" s="265">
        <v>1700</v>
      </c>
      <c r="C129" s="265" t="s">
        <v>388</v>
      </c>
      <c r="D129" s="265" t="s">
        <v>388</v>
      </c>
      <c r="E129" s="265">
        <v>306</v>
      </c>
      <c r="F129" s="265" t="s">
        <v>388</v>
      </c>
    </row>
    <row r="130" spans="1:6" ht="16.5" thickBot="1">
      <c r="A130" s="264" t="s">
        <v>522</v>
      </c>
      <c r="B130" s="265">
        <v>102396</v>
      </c>
      <c r="C130" s="265">
        <v>96931</v>
      </c>
      <c r="D130" s="265">
        <v>105936</v>
      </c>
      <c r="E130" s="265">
        <v>103261</v>
      </c>
      <c r="F130" s="265">
        <v>103429</v>
      </c>
    </row>
    <row r="131" spans="1:6" ht="16.5" thickBot="1">
      <c r="A131" s="264" t="s">
        <v>523</v>
      </c>
      <c r="B131" s="265">
        <v>19</v>
      </c>
      <c r="C131" s="265">
        <v>25</v>
      </c>
      <c r="D131" s="265">
        <v>27</v>
      </c>
      <c r="E131" s="265" t="s">
        <v>388</v>
      </c>
      <c r="F131" s="265" t="s">
        <v>388</v>
      </c>
    </row>
    <row r="132" spans="1:6" ht="16.5" thickBot="1">
      <c r="A132" s="264" t="s">
        <v>524</v>
      </c>
      <c r="B132" s="265">
        <v>19300</v>
      </c>
      <c r="C132" s="265">
        <v>18300</v>
      </c>
      <c r="D132" s="265">
        <v>18600</v>
      </c>
      <c r="E132" s="265" t="s">
        <v>388</v>
      </c>
      <c r="F132" s="265" t="s">
        <v>388</v>
      </c>
    </row>
    <row r="133" spans="1:6" ht="16.5" thickBot="1">
      <c r="A133" s="264" t="s">
        <v>525</v>
      </c>
      <c r="B133" s="265">
        <v>94824</v>
      </c>
      <c r="C133" s="265">
        <v>88602</v>
      </c>
      <c r="D133" s="265">
        <v>111844</v>
      </c>
      <c r="E133" s="265">
        <v>120701</v>
      </c>
      <c r="F133" s="265">
        <v>120396</v>
      </c>
    </row>
    <row r="134" spans="1:6">
      <c r="A134" s="264" t="s">
        <v>526</v>
      </c>
      <c r="B134" s="265">
        <v>42553</v>
      </c>
      <c r="C134" s="265">
        <v>47789</v>
      </c>
      <c r="D134" s="265">
        <v>30288</v>
      </c>
      <c r="E134" s="265">
        <v>32719</v>
      </c>
      <c r="F134" s="265">
        <v>35490</v>
      </c>
    </row>
    <row r="135" spans="1:6" ht="15.95" customHeight="1" thickBot="1">
      <c r="A135" s="263" t="s">
        <v>527</v>
      </c>
      <c r="B135" s="263"/>
      <c r="C135" s="263"/>
      <c r="D135" s="263"/>
      <c r="E135" s="263"/>
      <c r="F135" s="263"/>
    </row>
    <row r="136" spans="1:6" ht="16.5" thickBot="1">
      <c r="A136" s="266" t="s">
        <v>528</v>
      </c>
      <c r="B136" s="267">
        <v>140759</v>
      </c>
      <c r="C136" s="267">
        <v>138237</v>
      </c>
      <c r="D136" s="267">
        <v>160870</v>
      </c>
      <c r="E136" s="267">
        <v>154992</v>
      </c>
      <c r="F136" s="267">
        <v>153613</v>
      </c>
    </row>
    <row r="137" spans="1:6" ht="16.5" thickBot="1">
      <c r="A137" s="268" t="s">
        <v>529</v>
      </c>
      <c r="B137" s="269">
        <v>49728</v>
      </c>
      <c r="C137" s="269">
        <v>49692</v>
      </c>
      <c r="D137" s="269">
        <v>51334</v>
      </c>
      <c r="E137" s="269">
        <v>53649</v>
      </c>
      <c r="F137" s="269">
        <v>53538</v>
      </c>
    </row>
    <row r="138" spans="1:6" ht="16.5" thickBot="1">
      <c r="A138" s="268" t="s">
        <v>530</v>
      </c>
      <c r="B138" s="269">
        <v>27253</v>
      </c>
      <c r="C138" s="269">
        <v>23305</v>
      </c>
      <c r="D138" s="269">
        <v>31197</v>
      </c>
      <c r="E138" s="269">
        <v>32163</v>
      </c>
      <c r="F138" s="269">
        <v>34929</v>
      </c>
    </row>
    <row r="139" spans="1:6" ht="16.5" thickBot="1">
      <c r="A139" s="268" t="s">
        <v>531</v>
      </c>
      <c r="B139" s="269">
        <v>22780</v>
      </c>
      <c r="C139" s="269">
        <v>16007</v>
      </c>
      <c r="D139" s="269">
        <v>22360</v>
      </c>
      <c r="E139" s="269">
        <v>23727</v>
      </c>
      <c r="F139" s="269">
        <v>23962</v>
      </c>
    </row>
    <row r="140" spans="1:6" ht="16.5" thickBot="1">
      <c r="A140" s="268" t="s">
        <v>532</v>
      </c>
      <c r="B140" s="269">
        <v>12730</v>
      </c>
      <c r="C140" s="269">
        <v>17754</v>
      </c>
      <c r="D140" s="269">
        <v>13519</v>
      </c>
      <c r="E140" s="269">
        <v>10681</v>
      </c>
      <c r="F140" s="269">
        <v>13385</v>
      </c>
    </row>
    <row r="141" spans="1:6" ht="16.5" thickBot="1">
      <c r="A141" s="268" t="s">
        <v>533</v>
      </c>
      <c r="B141" s="269">
        <v>8236</v>
      </c>
      <c r="C141" s="269">
        <v>11394</v>
      </c>
      <c r="D141" s="269">
        <v>19866</v>
      </c>
      <c r="E141" s="269">
        <v>10636</v>
      </c>
      <c r="F141" s="269">
        <v>8695</v>
      </c>
    </row>
    <row r="142" spans="1:6" ht="16.5" thickBot="1">
      <c r="A142" s="268" t="s">
        <v>534</v>
      </c>
      <c r="B142" s="269">
        <v>50033</v>
      </c>
      <c r="C142" s="269">
        <v>39312</v>
      </c>
      <c r="D142" s="269">
        <v>53557</v>
      </c>
      <c r="E142" s="269">
        <v>55890</v>
      </c>
      <c r="F142" s="269">
        <v>58891</v>
      </c>
    </row>
    <row r="143" spans="1:6" ht="16.5" thickBot="1">
      <c r="A143" s="268" t="s">
        <v>535</v>
      </c>
      <c r="B143" s="269">
        <v>20966</v>
      </c>
      <c r="C143" s="269">
        <v>29148</v>
      </c>
      <c r="D143" s="269">
        <v>33385</v>
      </c>
      <c r="E143" s="269">
        <v>21317</v>
      </c>
      <c r="F143" s="269">
        <v>22080</v>
      </c>
    </row>
    <row r="144" spans="1:6" ht="16.5" thickBot="1">
      <c r="A144" s="268" t="s">
        <v>536</v>
      </c>
      <c r="B144" s="269">
        <v>20032</v>
      </c>
      <c r="C144" s="269">
        <v>20085</v>
      </c>
      <c r="D144" s="269">
        <v>22594</v>
      </c>
      <c r="E144" s="269">
        <v>24136</v>
      </c>
      <c r="F144" s="269">
        <v>19104</v>
      </c>
    </row>
    <row r="145" spans="1:6" ht="16.5" thickBot="1">
      <c r="A145" s="266" t="s">
        <v>537</v>
      </c>
      <c r="B145" s="267">
        <v>574</v>
      </c>
      <c r="C145" s="267">
        <v>565</v>
      </c>
      <c r="D145" s="267">
        <v>414</v>
      </c>
      <c r="E145" s="267">
        <v>177</v>
      </c>
      <c r="F145" s="267">
        <v>172</v>
      </c>
    </row>
    <row r="146" spans="1:6" ht="16.5" thickBot="1">
      <c r="A146" s="268" t="s">
        <v>538</v>
      </c>
      <c r="B146" s="269">
        <v>-139</v>
      </c>
      <c r="C146" s="269">
        <v>-94</v>
      </c>
      <c r="D146" s="269">
        <v>-110</v>
      </c>
      <c r="E146" s="269">
        <v>-11</v>
      </c>
      <c r="F146" s="269" t="s">
        <v>388</v>
      </c>
    </row>
    <row r="147" spans="1:6" ht="16.5" thickBot="1">
      <c r="A147" s="268" t="s">
        <v>539</v>
      </c>
      <c r="B147" s="269">
        <v>107</v>
      </c>
      <c r="C147" s="269">
        <v>94</v>
      </c>
      <c r="D147" s="269">
        <v>60</v>
      </c>
      <c r="E147" s="269">
        <v>96</v>
      </c>
      <c r="F147" s="269">
        <v>95</v>
      </c>
    </row>
    <row r="148" spans="1:6" ht="16.5" thickBot="1">
      <c r="A148" s="268" t="s">
        <v>540</v>
      </c>
      <c r="B148" s="269">
        <v>91</v>
      </c>
      <c r="C148" s="269">
        <v>88</v>
      </c>
      <c r="D148" s="269">
        <v>54</v>
      </c>
      <c r="E148" s="269">
        <v>35</v>
      </c>
      <c r="F148" s="269">
        <v>24</v>
      </c>
    </row>
    <row r="149" spans="1:6" ht="16.5" thickBot="1">
      <c r="A149" s="268" t="s">
        <v>541</v>
      </c>
      <c r="B149" s="269">
        <v>68</v>
      </c>
      <c r="C149" s="269">
        <v>70</v>
      </c>
      <c r="D149" s="269">
        <v>42</v>
      </c>
      <c r="E149" s="269">
        <v>21</v>
      </c>
      <c r="F149" s="269">
        <v>24</v>
      </c>
    </row>
    <row r="150" spans="1:6" ht="16.5" thickBot="1">
      <c r="A150" s="268" t="s">
        <v>542</v>
      </c>
      <c r="B150" s="269">
        <v>62</v>
      </c>
      <c r="C150" s="269">
        <v>62</v>
      </c>
      <c r="D150" s="269">
        <v>35</v>
      </c>
      <c r="E150" s="269">
        <v>16</v>
      </c>
      <c r="F150" s="269">
        <v>11</v>
      </c>
    </row>
    <row r="151" spans="1:6" ht="16.5" thickBot="1">
      <c r="A151" s="268" t="s">
        <v>543</v>
      </c>
      <c r="B151" s="269">
        <v>37</v>
      </c>
      <c r="C151" s="269">
        <v>57</v>
      </c>
      <c r="D151" s="269">
        <v>30</v>
      </c>
      <c r="E151" s="269">
        <v>10</v>
      </c>
      <c r="F151" s="269">
        <v>11</v>
      </c>
    </row>
    <row r="152" spans="1:6" ht="16.5" thickBot="1">
      <c r="A152" s="268" t="s">
        <v>544</v>
      </c>
      <c r="B152" s="269">
        <v>159</v>
      </c>
      <c r="C152" s="269">
        <v>158</v>
      </c>
      <c r="D152" s="269">
        <v>96</v>
      </c>
      <c r="E152" s="269">
        <v>56</v>
      </c>
      <c r="F152" s="269">
        <v>48</v>
      </c>
    </row>
    <row r="153" spans="1:6" ht="16.5" thickBot="1">
      <c r="A153" s="268" t="s">
        <v>545</v>
      </c>
      <c r="B153" s="269">
        <v>99</v>
      </c>
      <c r="C153" s="269">
        <v>119</v>
      </c>
      <c r="D153" s="269">
        <v>65</v>
      </c>
      <c r="E153" s="269">
        <v>26</v>
      </c>
      <c r="F153" s="269">
        <v>22</v>
      </c>
    </row>
    <row r="154" spans="1:6" ht="16.5" thickBot="1">
      <c r="A154" s="268" t="s">
        <v>546</v>
      </c>
      <c r="B154" s="269">
        <v>348</v>
      </c>
      <c r="C154" s="269">
        <v>288</v>
      </c>
      <c r="D154" s="269">
        <v>303</v>
      </c>
      <c r="E154" s="269">
        <v>10</v>
      </c>
      <c r="F154" s="269">
        <v>7</v>
      </c>
    </row>
    <row r="155" spans="1:6" ht="16.5" thickBot="1">
      <c r="A155" s="266" t="s">
        <v>547</v>
      </c>
      <c r="B155" s="267">
        <v>1505</v>
      </c>
      <c r="C155" s="267">
        <v>1393</v>
      </c>
      <c r="D155" s="267">
        <v>1314</v>
      </c>
      <c r="E155" s="267">
        <v>1414</v>
      </c>
      <c r="F155" s="267">
        <v>1511</v>
      </c>
    </row>
    <row r="156" spans="1:6" ht="16.5" thickBot="1">
      <c r="A156" s="268" t="s">
        <v>548</v>
      </c>
      <c r="B156" s="269">
        <v>452</v>
      </c>
      <c r="C156" s="269">
        <v>385</v>
      </c>
      <c r="D156" s="269">
        <v>366</v>
      </c>
      <c r="E156" s="269">
        <v>406</v>
      </c>
      <c r="F156" s="269">
        <v>363</v>
      </c>
    </row>
    <row r="157" spans="1:6" ht="16.5" thickBot="1">
      <c r="A157" s="268" t="s">
        <v>549</v>
      </c>
      <c r="B157" s="269">
        <v>350</v>
      </c>
      <c r="C157" s="269">
        <v>307</v>
      </c>
      <c r="D157" s="269">
        <v>279</v>
      </c>
      <c r="E157" s="269">
        <v>306</v>
      </c>
      <c r="F157" s="269">
        <v>271</v>
      </c>
    </row>
    <row r="158" spans="1:6" ht="16.5" thickBot="1">
      <c r="A158" s="268" t="s">
        <v>550</v>
      </c>
      <c r="B158" s="269">
        <v>253</v>
      </c>
      <c r="C158" s="269">
        <v>223</v>
      </c>
      <c r="D158" s="269">
        <v>210</v>
      </c>
      <c r="E158" s="269">
        <v>219</v>
      </c>
      <c r="F158" s="269">
        <v>193</v>
      </c>
    </row>
    <row r="159" spans="1:6" ht="16.5" thickBot="1">
      <c r="A159" s="268" t="s">
        <v>551</v>
      </c>
      <c r="B159" s="269">
        <v>176</v>
      </c>
      <c r="C159" s="269">
        <v>161</v>
      </c>
      <c r="D159" s="269">
        <v>156</v>
      </c>
      <c r="E159" s="269">
        <v>156</v>
      </c>
      <c r="F159" s="269">
        <v>141</v>
      </c>
    </row>
    <row r="160" spans="1:6" ht="16.5" thickBot="1">
      <c r="A160" s="268" t="s">
        <v>552</v>
      </c>
      <c r="B160" s="269">
        <v>134</v>
      </c>
      <c r="C160" s="269">
        <v>128</v>
      </c>
      <c r="D160" s="269">
        <v>117</v>
      </c>
      <c r="E160" s="269">
        <v>114</v>
      </c>
      <c r="F160" s="269">
        <v>106</v>
      </c>
    </row>
    <row r="161" spans="1:6" ht="16.5" thickBot="1">
      <c r="A161" s="268" t="s">
        <v>553</v>
      </c>
      <c r="B161" s="269">
        <v>603</v>
      </c>
      <c r="C161" s="269">
        <v>530</v>
      </c>
      <c r="D161" s="269">
        <v>489</v>
      </c>
      <c r="E161" s="269">
        <v>525</v>
      </c>
      <c r="F161" s="269">
        <v>464</v>
      </c>
    </row>
    <row r="162" spans="1:6" ht="16.5" thickBot="1">
      <c r="A162" s="268" t="s">
        <v>554</v>
      </c>
      <c r="B162" s="269">
        <v>310</v>
      </c>
      <c r="C162" s="269">
        <v>289</v>
      </c>
      <c r="D162" s="269">
        <v>273</v>
      </c>
      <c r="E162" s="269">
        <v>270</v>
      </c>
      <c r="F162" s="269">
        <v>247</v>
      </c>
    </row>
    <row r="163" spans="1:6" ht="16.5" thickBot="1">
      <c r="A163" s="268" t="s">
        <v>555</v>
      </c>
      <c r="B163" s="269">
        <v>140</v>
      </c>
      <c r="C163" s="269">
        <v>189</v>
      </c>
      <c r="D163" s="269">
        <v>186</v>
      </c>
      <c r="E163" s="269">
        <v>213</v>
      </c>
      <c r="F163" s="269">
        <v>437</v>
      </c>
    </row>
    <row r="164" spans="1:6" ht="16.5" thickBot="1">
      <c r="A164" s="264" t="s">
        <v>556</v>
      </c>
      <c r="B164" s="265">
        <v>-169</v>
      </c>
      <c r="C164" s="265">
        <v>-146</v>
      </c>
      <c r="D164" s="265">
        <v>-166</v>
      </c>
      <c r="E164" s="265">
        <v>-174</v>
      </c>
      <c r="F164" s="265" t="s">
        <v>388</v>
      </c>
    </row>
    <row r="165" spans="1:6" ht="16.5" thickBot="1">
      <c r="A165" s="266" t="s">
        <v>557</v>
      </c>
      <c r="B165" s="267">
        <v>-4665</v>
      </c>
      <c r="C165" s="267">
        <v>-6366</v>
      </c>
      <c r="D165" s="267">
        <v>-13255</v>
      </c>
      <c r="E165" s="267">
        <v>-12906</v>
      </c>
      <c r="F165" s="267">
        <v>-11860</v>
      </c>
    </row>
    <row r="166" spans="1:6" ht="16.5" thickBot="1">
      <c r="A166" s="268" t="s">
        <v>558</v>
      </c>
      <c r="B166" s="269">
        <v>32867</v>
      </c>
      <c r="C166" s="269">
        <v>44888</v>
      </c>
      <c r="D166" s="269">
        <v>49020</v>
      </c>
      <c r="E166" s="269">
        <v>45672</v>
      </c>
      <c r="F166" s="269">
        <v>42269</v>
      </c>
    </row>
    <row r="167" spans="1:6" ht="16.5" thickBot="1">
      <c r="A167" s="268" t="s">
        <v>559</v>
      </c>
      <c r="B167" s="269">
        <v>21605</v>
      </c>
      <c r="C167" s="269">
        <v>34432</v>
      </c>
      <c r="D167" s="269">
        <v>39835</v>
      </c>
      <c r="E167" s="269">
        <v>35373</v>
      </c>
      <c r="F167" s="269">
        <v>31079</v>
      </c>
    </row>
    <row r="168" spans="1:6" ht="16.5" thickBot="1">
      <c r="A168" s="268" t="s">
        <v>560</v>
      </c>
      <c r="B168" s="269">
        <v>32922</v>
      </c>
      <c r="C168" s="269">
        <v>45909</v>
      </c>
      <c r="D168" s="269">
        <v>48355</v>
      </c>
      <c r="E168" s="269">
        <v>44253</v>
      </c>
      <c r="F168" s="269">
        <v>39774</v>
      </c>
    </row>
    <row r="169" spans="1:6" ht="16.5" thickBot="1">
      <c r="A169" s="268" t="s">
        <v>561</v>
      </c>
      <c r="B169" s="269">
        <v>21344</v>
      </c>
      <c r="C169" s="269">
        <v>33085</v>
      </c>
      <c r="D169" s="269">
        <v>33820</v>
      </c>
      <c r="E169" s="269">
        <v>29958</v>
      </c>
      <c r="F169" s="269">
        <v>27273</v>
      </c>
    </row>
    <row r="170" spans="1:6" ht="16.5" thickBot="1">
      <c r="A170" s="268" t="s">
        <v>562</v>
      </c>
      <c r="B170" s="269">
        <v>55</v>
      </c>
      <c r="C170" s="269">
        <v>1021</v>
      </c>
      <c r="D170" s="269">
        <v>-665</v>
      </c>
      <c r="E170" s="269">
        <v>-1419</v>
      </c>
      <c r="F170" s="269">
        <v>-2495</v>
      </c>
    </row>
    <row r="171" spans="1:6" ht="16.5" thickBot="1">
      <c r="A171" s="268" t="s">
        <v>563</v>
      </c>
      <c r="B171" s="269">
        <v>-261</v>
      </c>
      <c r="C171" s="269">
        <v>-1347</v>
      </c>
      <c r="D171" s="269">
        <v>-6015</v>
      </c>
      <c r="E171" s="269">
        <v>-5415</v>
      </c>
      <c r="F171" s="269">
        <v>-3806</v>
      </c>
    </row>
    <row r="172" spans="1:6" ht="16.5" thickBot="1">
      <c r="A172" s="268" t="s">
        <v>564</v>
      </c>
      <c r="B172" s="269">
        <v>32336</v>
      </c>
      <c r="C172" s="269">
        <v>43879</v>
      </c>
      <c r="D172" s="269">
        <v>47848</v>
      </c>
      <c r="E172" s="269">
        <v>44578</v>
      </c>
      <c r="F172" s="269">
        <v>1965</v>
      </c>
    </row>
    <row r="173" spans="1:6" ht="16.5" thickBot="1">
      <c r="A173" s="268" t="s">
        <v>565</v>
      </c>
      <c r="B173" s="269">
        <v>20304</v>
      </c>
      <c r="C173" s="269">
        <v>31850</v>
      </c>
      <c r="D173" s="269">
        <v>36272</v>
      </c>
      <c r="E173" s="269">
        <v>32106</v>
      </c>
      <c r="F173" s="269">
        <v>10904</v>
      </c>
    </row>
    <row r="174" spans="1:6" ht="16.5" thickBot="1">
      <c r="A174" s="268" t="s">
        <v>566</v>
      </c>
      <c r="B174" s="269" t="s">
        <v>388</v>
      </c>
      <c r="C174" s="269" t="s">
        <v>388</v>
      </c>
      <c r="D174" s="269" t="s">
        <v>388</v>
      </c>
      <c r="E174" s="269" t="s">
        <v>388</v>
      </c>
      <c r="F174" s="269">
        <v>5559</v>
      </c>
    </row>
    <row r="175" spans="1:6" ht="16.5" thickBot="1">
      <c r="A175" s="268" t="s">
        <v>567</v>
      </c>
      <c r="B175" s="269">
        <v>4459</v>
      </c>
      <c r="C175" s="269">
        <v>6040</v>
      </c>
      <c r="D175" s="269">
        <v>6575</v>
      </c>
      <c r="E175" s="269">
        <v>6072</v>
      </c>
      <c r="F175" s="269">
        <v>5559</v>
      </c>
    </row>
    <row r="176" spans="1:6" ht="16.5" thickBot="1">
      <c r="A176" s="266" t="s">
        <v>568</v>
      </c>
      <c r="B176" s="267" t="s">
        <v>388</v>
      </c>
      <c r="C176" s="267" t="s">
        <v>388</v>
      </c>
      <c r="D176" s="267" t="s">
        <v>388</v>
      </c>
      <c r="E176" s="267" t="s">
        <v>388</v>
      </c>
      <c r="F176" s="267" t="s">
        <v>388</v>
      </c>
    </row>
    <row r="177" spans="1:6" ht="16.5" thickBot="1">
      <c r="A177" s="268" t="s">
        <v>569</v>
      </c>
      <c r="B177" s="278">
        <v>5.5100000000000003E-2</v>
      </c>
      <c r="C177" s="278">
        <v>2.9100000000000001E-2</v>
      </c>
      <c r="D177" s="278">
        <v>2.5600000000000001E-2</v>
      </c>
      <c r="E177" s="278">
        <v>3.32E-2</v>
      </c>
      <c r="F177" s="278">
        <v>4.2900000000000001E-2</v>
      </c>
    </row>
    <row r="178" spans="1:6" ht="16.5" thickBot="1">
      <c r="A178" s="268" t="s">
        <v>570</v>
      </c>
      <c r="B178" s="278">
        <v>4.4200000000000003E-2</v>
      </c>
      <c r="C178" s="278">
        <v>1.7500000000000002E-2</v>
      </c>
      <c r="D178" s="278">
        <v>1.23E-2</v>
      </c>
      <c r="E178" s="278">
        <v>1.7399999999999999E-2</v>
      </c>
      <c r="F178" s="278">
        <v>2.4799999999999999E-2</v>
      </c>
    </row>
    <row r="179" spans="1:6" ht="16.5" thickBot="1">
      <c r="A179" s="268" t="s">
        <v>571</v>
      </c>
      <c r="B179" s="278">
        <v>5.4800000000000001E-2</v>
      </c>
      <c r="C179" s="278">
        <v>2.9700000000000001E-2</v>
      </c>
      <c r="D179" s="278">
        <v>2.6200000000000001E-2</v>
      </c>
      <c r="E179" s="278">
        <v>3.3000000000000002E-2</v>
      </c>
      <c r="F179" s="278">
        <v>4.1700000000000001E-2</v>
      </c>
    </row>
    <row r="180" spans="1:6" ht="16.5" thickBot="1">
      <c r="A180" s="268" t="s">
        <v>572</v>
      </c>
      <c r="B180" s="278">
        <v>3.6999999999999998E-2</v>
      </c>
      <c r="C180" s="278">
        <v>3.5000000000000003E-2</v>
      </c>
      <c r="D180" s="278">
        <v>3.5000000000000003E-2</v>
      </c>
      <c r="E180" s="278">
        <v>3.5000000000000003E-2</v>
      </c>
      <c r="F180" s="278">
        <v>3.5000000000000003E-2</v>
      </c>
    </row>
    <row r="181" spans="1:6" ht="16.5" thickBot="1">
      <c r="A181" s="268" t="s">
        <v>573</v>
      </c>
      <c r="B181" s="278">
        <v>3.4200000000000001E-2</v>
      </c>
      <c r="C181" s="278">
        <v>3.1899999999999998E-2</v>
      </c>
      <c r="D181" s="278">
        <v>3.3399999999999999E-2</v>
      </c>
      <c r="E181" s="278">
        <v>3.3700000000000001E-2</v>
      </c>
      <c r="F181" s="278">
        <v>3.3700000000000001E-2</v>
      </c>
    </row>
    <row r="182" spans="1:6" ht="16.5" thickBot="1">
      <c r="A182" s="268" t="s">
        <v>574</v>
      </c>
      <c r="B182" s="278">
        <v>3.6499999999999998E-2</v>
      </c>
      <c r="C182" s="278">
        <v>3.4599999999999999E-2</v>
      </c>
      <c r="D182" s="278">
        <v>3.44E-2</v>
      </c>
      <c r="E182" s="278">
        <v>3.44E-2</v>
      </c>
      <c r="F182" s="278">
        <v>3.44E-2</v>
      </c>
    </row>
    <row r="183" spans="1:6" ht="16.5" thickBot="1">
      <c r="A183" s="266" t="s">
        <v>575</v>
      </c>
      <c r="B183" s="267">
        <v>-4665</v>
      </c>
      <c r="C183" s="267">
        <v>-6366</v>
      </c>
      <c r="D183" s="267">
        <v>-13255</v>
      </c>
      <c r="E183" s="267">
        <v>-12906</v>
      </c>
      <c r="F183" s="267">
        <v>-11383</v>
      </c>
    </row>
    <row r="184" spans="1:6" ht="16.5" thickBot="1">
      <c r="A184" s="268" t="s">
        <v>576</v>
      </c>
      <c r="B184" s="269">
        <v>2064</v>
      </c>
      <c r="C184" s="269">
        <v>3130</v>
      </c>
      <c r="D184" s="269">
        <v>1578</v>
      </c>
      <c r="E184" s="269">
        <v>911</v>
      </c>
      <c r="F184" s="269">
        <v>165</v>
      </c>
    </row>
    <row r="185" spans="1:6" ht="16.5" thickBot="1">
      <c r="A185" s="268" t="s">
        <v>577</v>
      </c>
      <c r="B185" s="269">
        <v>3599</v>
      </c>
      <c r="C185" s="269">
        <v>5404</v>
      </c>
      <c r="D185" s="269">
        <v>2673</v>
      </c>
      <c r="E185" s="269">
        <v>2318</v>
      </c>
      <c r="F185" s="269">
        <v>3161</v>
      </c>
    </row>
    <row r="186" spans="1:6" ht="16.5" thickBot="1">
      <c r="A186" s="268" t="s">
        <v>578</v>
      </c>
      <c r="B186" s="269" t="s">
        <v>388</v>
      </c>
      <c r="C186" s="269" t="s">
        <v>388</v>
      </c>
      <c r="D186" s="269" t="s">
        <v>388</v>
      </c>
      <c r="E186" s="269">
        <v>0</v>
      </c>
      <c r="F186" s="269">
        <v>0</v>
      </c>
    </row>
    <row r="187" spans="1:6" ht="16.5" thickBot="1">
      <c r="A187" s="268" t="s">
        <v>579</v>
      </c>
      <c r="B187" s="269">
        <v>-2009</v>
      </c>
      <c r="C187" s="269">
        <v>-2109</v>
      </c>
      <c r="D187" s="269">
        <v>-2243</v>
      </c>
      <c r="E187" s="269">
        <v>-2330</v>
      </c>
      <c r="F187" s="269">
        <v>-2660</v>
      </c>
    </row>
    <row r="188" spans="1:6" ht="16.5" thickBot="1">
      <c r="A188" s="268" t="s">
        <v>580</v>
      </c>
      <c r="B188" s="269">
        <v>-3860</v>
      </c>
      <c r="C188" s="269">
        <v>-6751</v>
      </c>
      <c r="D188" s="269">
        <v>-8688</v>
      </c>
      <c r="E188" s="269">
        <v>-7733</v>
      </c>
      <c r="F188" s="269">
        <v>-6967</v>
      </c>
    </row>
    <row r="189" spans="1:6" ht="16.5" thickBot="1">
      <c r="A189" s="268" t="s">
        <v>581</v>
      </c>
      <c r="B189" s="269">
        <v>-4459</v>
      </c>
      <c r="C189" s="269">
        <v>-6040</v>
      </c>
      <c r="D189" s="269">
        <v>-6575</v>
      </c>
      <c r="E189" s="269">
        <v>-6072</v>
      </c>
      <c r="F189" s="269">
        <v>-5559</v>
      </c>
    </row>
    <row r="190" spans="1:6" ht="16.5" thickBot="1">
      <c r="A190" s="268" t="s">
        <v>582</v>
      </c>
      <c r="B190" s="269" t="s">
        <v>388</v>
      </c>
      <c r="C190" s="269" t="s">
        <v>388</v>
      </c>
      <c r="D190" s="269" t="s">
        <v>388</v>
      </c>
      <c r="E190" s="269" t="s">
        <v>388</v>
      </c>
      <c r="F190" s="269">
        <v>95</v>
      </c>
    </row>
    <row r="191" spans="1:6" ht="16.5" thickBot="1">
      <c r="A191" s="268" t="s">
        <v>583</v>
      </c>
      <c r="B191" s="269" t="s">
        <v>388</v>
      </c>
      <c r="C191" s="269" t="s">
        <v>388</v>
      </c>
      <c r="D191" s="269" t="s">
        <v>388</v>
      </c>
      <c r="E191" s="269" t="s">
        <v>388</v>
      </c>
      <c r="F191" s="269">
        <v>285</v>
      </c>
    </row>
    <row r="192" spans="1:6" ht="16.5" thickBot="1">
      <c r="A192" s="268" t="s">
        <v>584</v>
      </c>
      <c r="B192" s="269" t="s">
        <v>388</v>
      </c>
      <c r="C192" s="269" t="s">
        <v>388</v>
      </c>
      <c r="D192" s="269" t="s">
        <v>388</v>
      </c>
      <c r="E192" s="269" t="s">
        <v>388</v>
      </c>
      <c r="F192" s="269">
        <v>97</v>
      </c>
    </row>
    <row r="193" spans="1:6" ht="16.5" thickBot="1">
      <c r="A193" s="266" t="s">
        <v>585</v>
      </c>
      <c r="B193" s="267" t="s">
        <v>388</v>
      </c>
      <c r="C193" s="267" t="s">
        <v>388</v>
      </c>
      <c r="D193" s="267" t="s">
        <v>388</v>
      </c>
      <c r="E193" s="267" t="s">
        <v>388</v>
      </c>
      <c r="F193" s="267" t="s">
        <v>388</v>
      </c>
    </row>
    <row r="194" spans="1:6" ht="16.5" thickBot="1">
      <c r="A194" s="268" t="s">
        <v>586</v>
      </c>
      <c r="B194" s="278">
        <v>2.12E-2</v>
      </c>
      <c r="C194" s="278">
        <v>4.7300000000000002E-2</v>
      </c>
      <c r="D194" s="278">
        <v>7.3400000000000007E-2</v>
      </c>
      <c r="E194" s="278">
        <v>5.7500000000000002E-2</v>
      </c>
      <c r="F194" s="278">
        <v>5.1799999999999999E-2</v>
      </c>
    </row>
    <row r="195" spans="1:6" ht="16.5" thickBot="1">
      <c r="A195" s="268" t="s">
        <v>587</v>
      </c>
      <c r="B195" s="278">
        <v>0.1153</v>
      </c>
      <c r="C195" s="278">
        <v>9.74E-2</v>
      </c>
      <c r="D195" s="278">
        <v>0.1079</v>
      </c>
      <c r="E195" s="278">
        <v>6.7199999999999996E-2</v>
      </c>
      <c r="F195" s="278">
        <v>8.3500000000000005E-2</v>
      </c>
    </row>
    <row r="196" spans="1:6" ht="16.5" thickBot="1">
      <c r="A196" s="268" t="s">
        <v>588</v>
      </c>
      <c r="B196" s="278">
        <v>0.8458</v>
      </c>
      <c r="C196" s="278">
        <v>0.85040000000000004</v>
      </c>
      <c r="D196" s="278">
        <v>0.83189999999999997</v>
      </c>
      <c r="E196" s="278">
        <v>0.84519999999999995</v>
      </c>
      <c r="F196" s="278">
        <v>0.80030000000000001</v>
      </c>
    </row>
    <row r="197" spans="1:6" ht="16.5" thickBot="1">
      <c r="A197" s="268" t="s">
        <v>589</v>
      </c>
      <c r="B197" s="278">
        <v>0.7117</v>
      </c>
      <c r="C197" s="278">
        <v>0.7278</v>
      </c>
      <c r="D197" s="278">
        <v>0.72509999999999997</v>
      </c>
      <c r="E197" s="278">
        <v>0.75860000000000005</v>
      </c>
      <c r="F197" s="278">
        <v>0.69040000000000001</v>
      </c>
    </row>
    <row r="198" spans="1:6" ht="16.5" thickBot="1">
      <c r="A198" s="268" t="s">
        <v>590</v>
      </c>
      <c r="B198" s="278">
        <v>4.7199999999999999E-2</v>
      </c>
      <c r="C198" s="278">
        <v>2.8799999999999999E-2</v>
      </c>
      <c r="D198" s="278">
        <v>2.52E-2</v>
      </c>
      <c r="E198" s="278">
        <v>2.7E-2</v>
      </c>
      <c r="F198" s="278">
        <v>3.1199999999999999E-2</v>
      </c>
    </row>
    <row r="199" spans="1:6" ht="16.5" thickBot="1">
      <c r="A199" s="268" t="s">
        <v>591</v>
      </c>
      <c r="B199" s="278">
        <v>1.9E-2</v>
      </c>
      <c r="C199" s="278">
        <v>1.17E-2</v>
      </c>
      <c r="D199" s="278">
        <v>9.5999999999999992E-3</v>
      </c>
      <c r="E199" s="278">
        <v>1.0800000000000001E-2</v>
      </c>
      <c r="F199" s="278">
        <v>1.5100000000000001E-2</v>
      </c>
    </row>
    <row r="200" spans="1:6" ht="16.5" thickBot="1">
      <c r="A200" s="268" t="s">
        <v>592</v>
      </c>
      <c r="B200" s="278">
        <v>4.2900000000000001E-2</v>
      </c>
      <c r="C200" s="278">
        <v>7.3499999999999996E-2</v>
      </c>
      <c r="D200" s="278">
        <v>6.9500000000000006E-2</v>
      </c>
      <c r="E200" s="278">
        <v>7.0300000000000001E-2</v>
      </c>
      <c r="F200" s="278">
        <v>0.1323</v>
      </c>
    </row>
    <row r="201" spans="1:6" ht="16.5" thickBot="1">
      <c r="A201" s="268" t="s">
        <v>593</v>
      </c>
      <c r="B201" s="278">
        <v>2.7400000000000001E-2</v>
      </c>
      <c r="C201" s="278">
        <v>5.9799999999999999E-2</v>
      </c>
      <c r="D201" s="278">
        <v>5.8799999999999998E-2</v>
      </c>
      <c r="E201" s="278">
        <v>6.3500000000000001E-2</v>
      </c>
      <c r="F201" s="278">
        <v>6.7100000000000007E-2</v>
      </c>
    </row>
    <row r="202" spans="1:6" ht="16.5" thickBot="1">
      <c r="A202" s="268" t="s">
        <v>594</v>
      </c>
      <c r="B202" s="278">
        <v>4.2999999999999997E-2</v>
      </c>
      <c r="C202" s="278">
        <v>0</v>
      </c>
      <c r="D202" s="278" t="s">
        <v>388</v>
      </c>
      <c r="E202" s="278">
        <v>0</v>
      </c>
      <c r="F202" s="278">
        <v>0</v>
      </c>
    </row>
    <row r="203" spans="1:6" ht="16.5" thickBot="1">
      <c r="A203" s="268" t="s">
        <v>595</v>
      </c>
      <c r="B203" s="278">
        <v>0.12659999999999999</v>
      </c>
      <c r="C203" s="278">
        <v>0.1033</v>
      </c>
      <c r="D203" s="278">
        <v>9.8599999999999993E-2</v>
      </c>
      <c r="E203" s="278">
        <v>9.9900000000000003E-2</v>
      </c>
      <c r="F203" s="278">
        <v>0.121</v>
      </c>
    </row>
    <row r="204" spans="1:6" ht="16.5" thickBot="1">
      <c r="A204" s="264" t="s">
        <v>596</v>
      </c>
      <c r="B204" s="265">
        <v>58931</v>
      </c>
      <c r="C204" s="265">
        <v>85360</v>
      </c>
      <c r="D204" s="265">
        <v>95430</v>
      </c>
      <c r="E204" s="265">
        <v>87117</v>
      </c>
      <c r="F204" s="265">
        <v>78907</v>
      </c>
    </row>
    <row r="205" spans="1:6">
      <c r="A205" s="264" t="s">
        <v>597</v>
      </c>
      <c r="B205" s="265">
        <v>54266</v>
      </c>
      <c r="C205" s="265">
        <v>78994</v>
      </c>
      <c r="D205" s="265">
        <v>82175</v>
      </c>
      <c r="E205" s="265">
        <v>74211</v>
      </c>
      <c r="F205" s="265">
        <v>67047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8E15-766D-4FEE-A3F9-36970457814F}">
  <dimension ref="A1:G185"/>
  <sheetViews>
    <sheetView showGridLines="0" workbookViewId="0">
      <pane xSplit="2" ySplit="6" topLeftCell="C7" activePane="bottomRight" state="frozen"/>
      <selection pane="bottomRight" activeCell="C23" sqref="C23"/>
      <selection pane="bottomLeft" activeCell="H7" sqref="H7"/>
      <selection pane="topRight" activeCell="H7" sqref="H7"/>
    </sheetView>
  </sheetViews>
  <sheetFormatPr defaultColWidth="8.85546875" defaultRowHeight="15.75"/>
  <cols>
    <col min="1" max="1" width="7.42578125" style="254" customWidth="1"/>
    <col min="2" max="2" width="23.42578125" style="254" customWidth="1"/>
    <col min="3" max="7" width="21.42578125" style="254" bestFit="1" customWidth="1"/>
    <col min="8" max="16384" width="8.85546875" style="254"/>
  </cols>
  <sheetData>
    <row r="1" spans="1:7">
      <c r="A1" s="253" t="s">
        <v>598</v>
      </c>
    </row>
    <row r="3" spans="1:7">
      <c r="A3" s="255" t="s">
        <v>599</v>
      </c>
    </row>
    <row r="4" spans="1:7" ht="16.5" thickBot="1">
      <c r="A4" s="255" t="s">
        <v>321</v>
      </c>
    </row>
    <row r="5" spans="1:7" ht="16.5" thickBot="1">
      <c r="A5" s="395"/>
      <c r="B5" s="396"/>
      <c r="C5" s="257">
        <v>2022</v>
      </c>
      <c r="D5" s="257">
        <v>2021</v>
      </c>
      <c r="E5" s="257">
        <v>2020</v>
      </c>
      <c r="F5" s="257">
        <v>2019</v>
      </c>
      <c r="G5" s="257">
        <v>2018</v>
      </c>
    </row>
    <row r="6" spans="1:7" ht="18.95" customHeight="1" thickBot="1">
      <c r="A6" s="397" t="s">
        <v>322</v>
      </c>
      <c r="B6" s="398"/>
      <c r="C6" s="259" t="s">
        <v>323</v>
      </c>
      <c r="D6" s="260" t="s">
        <v>324</v>
      </c>
      <c r="E6" s="259" t="s">
        <v>325</v>
      </c>
      <c r="F6" s="259" t="s">
        <v>326</v>
      </c>
      <c r="G6" s="260" t="s">
        <v>327</v>
      </c>
    </row>
    <row r="7" spans="1:7" ht="16.5" thickBot="1">
      <c r="A7" s="399" t="s">
        <v>328</v>
      </c>
      <c r="B7" s="400"/>
      <c r="C7" s="262" t="s">
        <v>329</v>
      </c>
      <c r="D7" s="262" t="s">
        <v>330</v>
      </c>
      <c r="E7" s="262" t="s">
        <v>331</v>
      </c>
      <c r="F7" s="262" t="s">
        <v>332</v>
      </c>
      <c r="G7" s="262" t="s">
        <v>333</v>
      </c>
    </row>
    <row r="8" spans="1:7" ht="16.5" thickBot="1">
      <c r="A8" s="393" t="s">
        <v>334</v>
      </c>
      <c r="B8" s="394"/>
      <c r="C8" s="262" t="s">
        <v>335</v>
      </c>
      <c r="D8" s="262" t="s">
        <v>335</v>
      </c>
      <c r="E8" s="262" t="s">
        <v>335</v>
      </c>
      <c r="F8" s="262" t="s">
        <v>335</v>
      </c>
      <c r="G8" s="262" t="s">
        <v>335</v>
      </c>
    </row>
    <row r="9" spans="1:7" ht="16.5" thickBot="1">
      <c r="A9" s="393" t="s">
        <v>336</v>
      </c>
      <c r="B9" s="394"/>
      <c r="C9" s="262" t="s">
        <v>337</v>
      </c>
      <c r="D9" s="262" t="s">
        <v>337</v>
      </c>
      <c r="E9" s="262" t="s">
        <v>337</v>
      </c>
      <c r="F9" s="262" t="s">
        <v>337</v>
      </c>
      <c r="G9" s="262" t="s">
        <v>337</v>
      </c>
    </row>
    <row r="10" spans="1:7" ht="16.5" thickBot="1">
      <c r="A10" s="393" t="s">
        <v>338</v>
      </c>
      <c r="B10" s="394"/>
      <c r="C10" s="262" t="s">
        <v>329</v>
      </c>
      <c r="D10" s="262" t="s">
        <v>330</v>
      </c>
      <c r="E10" s="262" t="s">
        <v>331</v>
      </c>
      <c r="F10" s="262" t="s">
        <v>332</v>
      </c>
      <c r="G10" s="262" t="s">
        <v>333</v>
      </c>
    </row>
    <row r="11" spans="1:7" ht="16.5" thickBot="1">
      <c r="A11" s="393" t="s">
        <v>339</v>
      </c>
      <c r="B11" s="394"/>
      <c r="C11" s="262" t="s">
        <v>340</v>
      </c>
      <c r="D11" s="262" t="s">
        <v>340</v>
      </c>
      <c r="E11" s="262" t="s">
        <v>340</v>
      </c>
      <c r="F11" s="262" t="s">
        <v>340</v>
      </c>
      <c r="G11" s="262" t="s">
        <v>340</v>
      </c>
    </row>
    <row r="12" spans="1:7" ht="16.5" thickBot="1">
      <c r="A12" s="393" t="s">
        <v>341</v>
      </c>
      <c r="B12" s="394"/>
      <c r="C12" s="262" t="s">
        <v>342</v>
      </c>
      <c r="D12" s="262" t="s">
        <v>342</v>
      </c>
      <c r="E12" s="262" t="s">
        <v>342</v>
      </c>
      <c r="F12" s="262" t="s">
        <v>342</v>
      </c>
      <c r="G12" s="262" t="s">
        <v>342</v>
      </c>
    </row>
    <row r="13" spans="1:7" ht="16.5" thickBot="1">
      <c r="A13" s="393" t="s">
        <v>345</v>
      </c>
      <c r="B13" s="394"/>
      <c r="C13" s="262" t="s">
        <v>346</v>
      </c>
      <c r="D13" s="262" t="s">
        <v>346</v>
      </c>
      <c r="E13" s="262" t="s">
        <v>346</v>
      </c>
      <c r="F13" s="262" t="s">
        <v>346</v>
      </c>
      <c r="G13" s="262" t="s">
        <v>346</v>
      </c>
    </row>
    <row r="14" spans="1:7" ht="16.5" thickBot="1">
      <c r="A14" s="393" t="s">
        <v>347</v>
      </c>
      <c r="B14" s="394"/>
      <c r="C14" s="262" t="s">
        <v>348</v>
      </c>
      <c r="D14" s="262" t="s">
        <v>348</v>
      </c>
      <c r="E14" s="262" t="s">
        <v>348</v>
      </c>
      <c r="F14" s="262" t="s">
        <v>348</v>
      </c>
      <c r="G14" s="262" t="s">
        <v>348</v>
      </c>
    </row>
    <row r="15" spans="1:7" ht="16.5" thickBot="1">
      <c r="A15" s="393" t="s">
        <v>349</v>
      </c>
      <c r="B15" s="394"/>
      <c r="C15" s="262" t="s">
        <v>350</v>
      </c>
      <c r="D15" s="262" t="s">
        <v>351</v>
      </c>
      <c r="E15" s="262" t="s">
        <v>352</v>
      </c>
      <c r="F15" s="262" t="s">
        <v>353</v>
      </c>
      <c r="G15" s="262" t="s">
        <v>354</v>
      </c>
    </row>
    <row r="16" spans="1:7" ht="16.5" thickBot="1">
      <c r="A16" s="393" t="s">
        <v>355</v>
      </c>
      <c r="B16" s="394"/>
      <c r="C16" s="262">
        <v>44959.883333333331</v>
      </c>
      <c r="D16" s="262">
        <v>44595.883333333331</v>
      </c>
      <c r="E16" s="262">
        <v>44231.892361111109</v>
      </c>
      <c r="F16" s="262">
        <v>43837.801388888889</v>
      </c>
      <c r="G16" s="262">
        <v>43488.902777777781</v>
      </c>
    </row>
    <row r="17" spans="1:7" ht="16.5" thickBot="1">
      <c r="A17" s="393" t="s">
        <v>356</v>
      </c>
      <c r="B17" s="394"/>
      <c r="C17" s="262" t="s">
        <v>357</v>
      </c>
      <c r="D17" s="262" t="s">
        <v>357</v>
      </c>
      <c r="E17" s="262" t="s">
        <v>357</v>
      </c>
      <c r="F17" s="262" t="s">
        <v>357</v>
      </c>
      <c r="G17" s="262" t="s">
        <v>357</v>
      </c>
    </row>
    <row r="18" spans="1:7" ht="16.5" thickBot="1">
      <c r="A18" s="393" t="s">
        <v>358</v>
      </c>
      <c r="B18" s="394"/>
      <c r="C18" s="262" t="s">
        <v>359</v>
      </c>
      <c r="D18" s="262" t="s">
        <v>359</v>
      </c>
      <c r="E18" s="262" t="s">
        <v>359</v>
      </c>
      <c r="F18" s="262" t="s">
        <v>359</v>
      </c>
      <c r="G18" s="262" t="s">
        <v>359</v>
      </c>
    </row>
    <row r="19" spans="1:7" ht="16.5" thickBot="1">
      <c r="A19" s="393" t="s">
        <v>360</v>
      </c>
      <c r="B19" s="394"/>
      <c r="C19" s="262" t="s">
        <v>361</v>
      </c>
      <c r="D19" s="262" t="s">
        <v>361</v>
      </c>
      <c r="E19" s="262" t="s">
        <v>361</v>
      </c>
      <c r="F19" s="262" t="s">
        <v>361</v>
      </c>
      <c r="G19" s="262" t="s">
        <v>361</v>
      </c>
    </row>
    <row r="20" spans="1:7" ht="16.5" thickBot="1">
      <c r="A20" s="393" t="s">
        <v>362</v>
      </c>
      <c r="B20" s="394"/>
      <c r="C20" s="262" t="s">
        <v>363</v>
      </c>
      <c r="D20" s="262" t="s">
        <v>363</v>
      </c>
      <c r="E20" s="262" t="s">
        <v>363</v>
      </c>
      <c r="F20" s="262" t="s">
        <v>363</v>
      </c>
      <c r="G20" s="262" t="s">
        <v>363</v>
      </c>
    </row>
    <row r="21" spans="1:7" ht="16.5" thickBot="1">
      <c r="A21" s="393" t="s">
        <v>364</v>
      </c>
      <c r="B21" s="394"/>
      <c r="C21" s="262" t="s">
        <v>365</v>
      </c>
      <c r="D21" s="262" t="s">
        <v>365</v>
      </c>
      <c r="E21" s="262" t="s">
        <v>365</v>
      </c>
      <c r="F21" s="262" t="s">
        <v>365</v>
      </c>
      <c r="G21" s="262" t="s">
        <v>365</v>
      </c>
    </row>
    <row r="22" spans="1:7" ht="16.5" thickBot="1">
      <c r="A22" s="393" t="s">
        <v>366</v>
      </c>
      <c r="B22" s="394"/>
      <c r="C22" s="262" t="s">
        <v>367</v>
      </c>
      <c r="D22" s="262" t="s">
        <v>367</v>
      </c>
      <c r="E22" s="262" t="s">
        <v>367</v>
      </c>
      <c r="F22" s="262" t="s">
        <v>367</v>
      </c>
      <c r="G22" s="262" t="s">
        <v>367</v>
      </c>
    </row>
    <row r="23" spans="1:7" ht="16.5" thickBot="1">
      <c r="A23" s="389" t="s">
        <v>7</v>
      </c>
      <c r="B23" s="390"/>
      <c r="C23" s="267">
        <v>158057</v>
      </c>
      <c r="D23" s="267">
        <v>136341</v>
      </c>
      <c r="E23" s="267">
        <v>127144</v>
      </c>
      <c r="F23" s="267">
        <v>155900</v>
      </c>
      <c r="G23" s="267">
        <v>160338</v>
      </c>
    </row>
    <row r="24" spans="1:7" ht="16.5" thickBot="1">
      <c r="A24" s="387" t="s">
        <v>600</v>
      </c>
      <c r="B24" s="388"/>
      <c r="C24" s="269">
        <v>158057</v>
      </c>
      <c r="D24" s="269">
        <v>136341</v>
      </c>
      <c r="E24" s="269">
        <v>127144</v>
      </c>
      <c r="F24" s="269">
        <v>155900</v>
      </c>
      <c r="G24" s="269">
        <v>160338</v>
      </c>
    </row>
    <row r="25" spans="1:7" ht="16.5" thickBot="1">
      <c r="A25" s="381" t="s">
        <v>601</v>
      </c>
      <c r="B25" s="382"/>
      <c r="C25" s="265">
        <v>158057</v>
      </c>
      <c r="D25" s="265">
        <v>136341</v>
      </c>
      <c r="E25" s="265">
        <v>127144</v>
      </c>
      <c r="F25" s="265">
        <v>155900</v>
      </c>
      <c r="G25" s="265">
        <v>160338</v>
      </c>
    </row>
    <row r="26" spans="1:7" ht="16.5" thickBot="1">
      <c r="A26" s="389" t="s">
        <v>602</v>
      </c>
      <c r="B26" s="390"/>
      <c r="C26" s="267">
        <v>140861</v>
      </c>
      <c r="D26" s="267">
        <v>119903</v>
      </c>
      <c r="E26" s="267">
        <v>121336</v>
      </c>
      <c r="F26" s="267">
        <v>143405</v>
      </c>
      <c r="G26" s="267">
        <v>145730</v>
      </c>
    </row>
    <row r="27" spans="1:7" ht="16.5" thickBot="1">
      <c r="A27" s="387" t="s">
        <v>603</v>
      </c>
      <c r="B27" s="388"/>
      <c r="C27" s="269">
        <v>140861</v>
      </c>
      <c r="D27" s="269">
        <v>119903</v>
      </c>
      <c r="E27" s="269">
        <v>121336</v>
      </c>
      <c r="F27" s="269">
        <v>143405</v>
      </c>
      <c r="G27" s="269">
        <v>145730</v>
      </c>
    </row>
    <row r="28" spans="1:7" ht="16.5" thickBot="1">
      <c r="A28" s="381" t="s">
        <v>604</v>
      </c>
      <c r="B28" s="382"/>
      <c r="C28" s="265">
        <v>17196</v>
      </c>
      <c r="D28" s="265">
        <v>16438</v>
      </c>
      <c r="E28" s="265">
        <v>5808</v>
      </c>
      <c r="F28" s="265">
        <v>12495</v>
      </c>
      <c r="G28" s="265">
        <v>14608</v>
      </c>
    </row>
    <row r="29" spans="1:7" ht="16.5" thickBot="1">
      <c r="A29" s="392"/>
      <c r="B29" s="392"/>
      <c r="C29" s="275"/>
      <c r="D29" s="275"/>
      <c r="E29" s="275"/>
      <c r="F29" s="275"/>
      <c r="G29" s="275"/>
    </row>
    <row r="30" spans="1:7" ht="16.5" thickBot="1">
      <c r="A30" s="389" t="s">
        <v>605</v>
      </c>
      <c r="B30" s="390"/>
      <c r="C30" s="267">
        <v>10888</v>
      </c>
      <c r="D30" s="267">
        <v>11915</v>
      </c>
      <c r="E30" s="267">
        <v>10193</v>
      </c>
      <c r="F30" s="267">
        <v>11161</v>
      </c>
      <c r="G30" s="267">
        <v>11403</v>
      </c>
    </row>
    <row r="31" spans="1:7" ht="16.5" thickBot="1">
      <c r="A31" s="387" t="s">
        <v>606</v>
      </c>
      <c r="B31" s="388"/>
      <c r="C31" s="269">
        <v>8688</v>
      </c>
      <c r="D31" s="269">
        <v>8815</v>
      </c>
      <c r="E31" s="269">
        <v>7393</v>
      </c>
      <c r="F31" s="269">
        <v>7561</v>
      </c>
      <c r="G31" s="269">
        <v>7403</v>
      </c>
    </row>
    <row r="32" spans="1:7" ht="16.5" thickBot="1">
      <c r="A32" s="387" t="s">
        <v>607</v>
      </c>
      <c r="B32" s="388"/>
      <c r="C32" s="269">
        <v>2200</v>
      </c>
      <c r="D32" s="269">
        <v>3100</v>
      </c>
      <c r="E32" s="269">
        <v>2800</v>
      </c>
      <c r="F32" s="269">
        <v>3600</v>
      </c>
      <c r="G32" s="269">
        <v>4000</v>
      </c>
    </row>
    <row r="33" spans="1:7" ht="16.5" thickBot="1">
      <c r="A33" s="389" t="s">
        <v>608</v>
      </c>
      <c r="B33" s="390"/>
      <c r="C33" s="267" t="s">
        <v>388</v>
      </c>
      <c r="D33" s="267" t="s">
        <v>388</v>
      </c>
      <c r="E33" s="267" t="s">
        <v>388</v>
      </c>
      <c r="F33" s="267">
        <v>-44</v>
      </c>
      <c r="G33" s="267">
        <v>2</v>
      </c>
    </row>
    <row r="34" spans="1:7" ht="16.5" thickBot="1">
      <c r="A34" s="387" t="s">
        <v>609</v>
      </c>
      <c r="B34" s="388"/>
      <c r="C34" s="269" t="s">
        <v>388</v>
      </c>
      <c r="D34" s="269" t="s">
        <v>388</v>
      </c>
      <c r="E34" s="269" t="s">
        <v>388</v>
      </c>
      <c r="F34" s="269">
        <v>-44</v>
      </c>
      <c r="G34" s="269">
        <v>2</v>
      </c>
    </row>
    <row r="35" spans="1:7" ht="16.5" thickBot="1">
      <c r="A35" s="381" t="s">
        <v>610</v>
      </c>
      <c r="B35" s="382"/>
      <c r="C35" s="265" t="s">
        <v>388</v>
      </c>
      <c r="D35" s="265" t="s">
        <v>388</v>
      </c>
      <c r="E35" s="265" t="s">
        <v>388</v>
      </c>
      <c r="F35" s="265">
        <v>-44</v>
      </c>
      <c r="G35" s="265">
        <v>2</v>
      </c>
    </row>
    <row r="36" spans="1:7" ht="16.5" thickBot="1">
      <c r="A36" s="389" t="s">
        <v>611</v>
      </c>
      <c r="B36" s="390"/>
      <c r="C36" s="267">
        <v>153</v>
      </c>
      <c r="D36" s="267">
        <v>1702</v>
      </c>
      <c r="E36" s="267">
        <v>24</v>
      </c>
      <c r="F36" s="267">
        <v>859</v>
      </c>
      <c r="G36" s="267" t="s">
        <v>388</v>
      </c>
    </row>
    <row r="37" spans="1:7" ht="16.5" thickBot="1">
      <c r="A37" s="387" t="s">
        <v>612</v>
      </c>
      <c r="B37" s="388"/>
      <c r="C37" s="269">
        <v>32</v>
      </c>
      <c r="D37" s="269" t="s">
        <v>388</v>
      </c>
      <c r="E37" s="269">
        <v>23</v>
      </c>
      <c r="F37" s="269">
        <v>804</v>
      </c>
      <c r="G37" s="269" t="s">
        <v>388</v>
      </c>
    </row>
    <row r="38" spans="1:7" ht="16.5" thickBot="1">
      <c r="A38" s="387" t="s">
        <v>613</v>
      </c>
      <c r="B38" s="388"/>
      <c r="C38" s="269">
        <v>121</v>
      </c>
      <c r="D38" s="269">
        <v>1702</v>
      </c>
      <c r="E38" s="269">
        <v>1</v>
      </c>
      <c r="F38" s="269">
        <v>55</v>
      </c>
      <c r="G38" s="269" t="s">
        <v>388</v>
      </c>
    </row>
    <row r="39" spans="1:7" ht="16.5" thickBot="1">
      <c r="A39" s="381" t="s">
        <v>614</v>
      </c>
      <c r="B39" s="382"/>
      <c r="C39" s="265">
        <v>151902</v>
      </c>
      <c r="D39" s="265">
        <v>133520</v>
      </c>
      <c r="E39" s="265">
        <v>131553</v>
      </c>
      <c r="F39" s="265">
        <v>155381</v>
      </c>
      <c r="G39" s="265">
        <v>157135</v>
      </c>
    </row>
    <row r="40" spans="1:7" ht="16.5" thickBot="1">
      <c r="A40" s="381" t="s">
        <v>615</v>
      </c>
      <c r="B40" s="382"/>
      <c r="C40" s="265">
        <v>6155</v>
      </c>
      <c r="D40" s="265">
        <v>2821</v>
      </c>
      <c r="E40" s="265">
        <v>-4409</v>
      </c>
      <c r="F40" s="265">
        <v>519</v>
      </c>
      <c r="G40" s="265">
        <v>3203</v>
      </c>
    </row>
    <row r="41" spans="1:7" ht="16.5" thickBot="1">
      <c r="A41" s="389" t="s">
        <v>616</v>
      </c>
      <c r="B41" s="390"/>
      <c r="C41" s="267">
        <v>-1259</v>
      </c>
      <c r="D41" s="267">
        <v>-1803</v>
      </c>
      <c r="E41" s="267">
        <v>-1649</v>
      </c>
      <c r="F41" s="267">
        <v>-1020</v>
      </c>
      <c r="G41" s="267">
        <v>-1228</v>
      </c>
    </row>
    <row r="42" spans="1:7" ht="16.5" thickBot="1">
      <c r="A42" s="387" t="s">
        <v>617</v>
      </c>
      <c r="B42" s="388"/>
      <c r="C42" s="269">
        <v>-1259</v>
      </c>
      <c r="D42" s="269">
        <v>-1803</v>
      </c>
      <c r="E42" s="269">
        <v>-1649</v>
      </c>
      <c r="F42" s="269">
        <v>-1020</v>
      </c>
      <c r="G42" s="269">
        <v>-1228</v>
      </c>
    </row>
    <row r="43" spans="1:7" ht="16.5" thickBot="1">
      <c r="A43" s="389" t="s">
        <v>618</v>
      </c>
      <c r="B43" s="390"/>
      <c r="C43" s="267">
        <v>-9909</v>
      </c>
      <c r="D43" s="267">
        <v>10108</v>
      </c>
      <c r="E43" s="267">
        <v>4265</v>
      </c>
      <c r="F43" s="267">
        <v>1057</v>
      </c>
      <c r="G43" s="267">
        <v>947</v>
      </c>
    </row>
    <row r="44" spans="1:7" ht="16.5" thickBot="1">
      <c r="A44" s="387" t="s">
        <v>619</v>
      </c>
      <c r="B44" s="388"/>
      <c r="C44" s="269">
        <v>639</v>
      </c>
      <c r="D44" s="269">
        <v>254</v>
      </c>
      <c r="E44" s="269">
        <v>452</v>
      </c>
      <c r="F44" s="269">
        <v>809</v>
      </c>
      <c r="G44" s="269">
        <v>667</v>
      </c>
    </row>
    <row r="45" spans="1:7" ht="16.5" thickBot="1">
      <c r="A45" s="387" t="s">
        <v>620</v>
      </c>
      <c r="B45" s="388"/>
      <c r="C45" s="269">
        <v>-10548</v>
      </c>
      <c r="D45" s="269">
        <v>9854</v>
      </c>
      <c r="E45" s="269">
        <v>3813</v>
      </c>
      <c r="F45" s="269">
        <v>248</v>
      </c>
      <c r="G45" s="269">
        <v>280</v>
      </c>
    </row>
    <row r="46" spans="1:7" ht="16.5" thickBot="1">
      <c r="A46" s="381" t="s">
        <v>621</v>
      </c>
      <c r="B46" s="382"/>
      <c r="C46" s="265">
        <v>-23</v>
      </c>
      <c r="D46" s="265">
        <v>7</v>
      </c>
      <c r="E46" s="265">
        <v>-2</v>
      </c>
      <c r="F46" s="265">
        <v>-29</v>
      </c>
      <c r="G46" s="265">
        <v>33</v>
      </c>
    </row>
    <row r="47" spans="1:7" ht="16.5" thickBot="1">
      <c r="A47" s="381" t="s">
        <v>622</v>
      </c>
      <c r="B47" s="382"/>
      <c r="C47" s="265">
        <v>-11191</v>
      </c>
      <c r="D47" s="265">
        <v>8312</v>
      </c>
      <c r="E47" s="265">
        <v>2614</v>
      </c>
      <c r="F47" s="265">
        <v>8</v>
      </c>
      <c r="G47" s="265">
        <v>-248</v>
      </c>
    </row>
    <row r="48" spans="1:7" ht="16.5" thickBot="1">
      <c r="A48" s="389" t="s">
        <v>623</v>
      </c>
      <c r="B48" s="390"/>
      <c r="C48" s="267">
        <v>2020</v>
      </c>
      <c r="D48" s="267">
        <v>6647</v>
      </c>
      <c r="E48" s="267">
        <v>679</v>
      </c>
      <c r="F48" s="267">
        <v>-1167</v>
      </c>
      <c r="G48" s="267">
        <v>1390</v>
      </c>
    </row>
    <row r="49" spans="1:7" ht="16.5" thickBot="1">
      <c r="A49" s="387" t="s">
        <v>624</v>
      </c>
      <c r="B49" s="388"/>
      <c r="C49" s="269">
        <v>2020</v>
      </c>
      <c r="D49" s="269">
        <v>6647</v>
      </c>
      <c r="E49" s="269">
        <v>679</v>
      </c>
      <c r="F49" s="269">
        <v>-1167</v>
      </c>
      <c r="G49" s="269">
        <v>1390</v>
      </c>
    </row>
    <row r="50" spans="1:7" ht="16.5" thickBot="1">
      <c r="A50" s="381" t="s">
        <v>625</v>
      </c>
      <c r="B50" s="382"/>
      <c r="C50" s="265">
        <v>-3016</v>
      </c>
      <c r="D50" s="265">
        <v>17780</v>
      </c>
      <c r="E50" s="265">
        <v>-1116</v>
      </c>
      <c r="F50" s="265">
        <v>-640</v>
      </c>
      <c r="G50" s="265">
        <v>4345</v>
      </c>
    </row>
    <row r="51" spans="1:7" ht="16.5" thickBot="1">
      <c r="A51" s="381" t="s">
        <v>626</v>
      </c>
      <c r="B51" s="382"/>
      <c r="C51" s="265">
        <v>-864</v>
      </c>
      <c r="D51" s="265">
        <v>-130</v>
      </c>
      <c r="E51" s="265">
        <v>160</v>
      </c>
      <c r="F51" s="265">
        <v>-819</v>
      </c>
      <c r="G51" s="265">
        <v>773</v>
      </c>
    </row>
    <row r="52" spans="1:7" ht="16.5" thickBot="1">
      <c r="A52" s="381" t="s">
        <v>627</v>
      </c>
      <c r="B52" s="382"/>
      <c r="C52" s="265">
        <v>-2152</v>
      </c>
      <c r="D52" s="265">
        <v>17910</v>
      </c>
      <c r="E52" s="265">
        <v>-1276</v>
      </c>
      <c r="F52" s="265">
        <v>179</v>
      </c>
      <c r="G52" s="265">
        <v>3572</v>
      </c>
    </row>
    <row r="53" spans="1:7" ht="16.5" thickBot="1">
      <c r="A53" s="381" t="s">
        <v>472</v>
      </c>
      <c r="B53" s="382"/>
      <c r="C53" s="265">
        <v>171</v>
      </c>
      <c r="D53" s="265">
        <v>27</v>
      </c>
      <c r="E53" s="265">
        <v>-3</v>
      </c>
      <c r="F53" s="265">
        <v>-37</v>
      </c>
      <c r="G53" s="265">
        <v>-18</v>
      </c>
    </row>
    <row r="54" spans="1:7" ht="16.5" thickBot="1">
      <c r="A54" s="381" t="s">
        <v>628</v>
      </c>
      <c r="B54" s="382"/>
      <c r="C54" s="265">
        <v>-1981</v>
      </c>
      <c r="D54" s="265">
        <v>17937</v>
      </c>
      <c r="E54" s="265">
        <v>-1279</v>
      </c>
      <c r="F54" s="265">
        <v>142</v>
      </c>
      <c r="G54" s="265">
        <v>3554</v>
      </c>
    </row>
    <row r="55" spans="1:7" ht="16.5" thickBot="1">
      <c r="A55" s="392"/>
      <c r="B55" s="392"/>
      <c r="C55" s="275"/>
      <c r="D55" s="275"/>
      <c r="E55" s="275"/>
      <c r="F55" s="275"/>
      <c r="G55" s="275"/>
    </row>
    <row r="56" spans="1:7" ht="16.5" thickBot="1">
      <c r="A56" s="381" t="s">
        <v>629</v>
      </c>
      <c r="B56" s="382"/>
      <c r="C56" s="265" t="s">
        <v>388</v>
      </c>
      <c r="D56" s="265" t="s">
        <v>388</v>
      </c>
      <c r="E56" s="265" t="s">
        <v>388</v>
      </c>
      <c r="F56" s="265">
        <v>-95</v>
      </c>
      <c r="G56" s="265">
        <v>123</v>
      </c>
    </row>
    <row r="57" spans="1:7" ht="16.5" thickBot="1">
      <c r="A57" s="381" t="s">
        <v>630</v>
      </c>
      <c r="B57" s="382"/>
      <c r="C57" s="265" t="s">
        <v>388</v>
      </c>
      <c r="D57" s="265" t="s">
        <v>388</v>
      </c>
      <c r="E57" s="265" t="s">
        <v>388</v>
      </c>
      <c r="F57" s="265">
        <v>-95</v>
      </c>
      <c r="G57" s="265">
        <v>123</v>
      </c>
    </row>
    <row r="58" spans="1:7" ht="16.5" thickBot="1">
      <c r="A58" s="381" t="s">
        <v>631</v>
      </c>
      <c r="B58" s="382"/>
      <c r="C58" s="265">
        <v>-1981</v>
      </c>
      <c r="D58" s="265">
        <v>17937</v>
      </c>
      <c r="E58" s="265">
        <v>-1279</v>
      </c>
      <c r="F58" s="265">
        <v>47</v>
      </c>
      <c r="G58" s="265">
        <v>3677</v>
      </c>
    </row>
    <row r="59" spans="1:7" ht="16.5" thickBot="1">
      <c r="A59" s="392"/>
      <c r="B59" s="392"/>
      <c r="C59" s="275"/>
      <c r="D59" s="275"/>
      <c r="E59" s="275"/>
      <c r="F59" s="275"/>
      <c r="G59" s="275"/>
    </row>
    <row r="60" spans="1:7" ht="16.5" thickBot="1">
      <c r="A60" s="381" t="s">
        <v>632</v>
      </c>
      <c r="B60" s="382"/>
      <c r="C60" s="265">
        <v>-1981</v>
      </c>
      <c r="D60" s="265">
        <v>17937</v>
      </c>
      <c r="E60" s="265">
        <v>-1279</v>
      </c>
      <c r="F60" s="265">
        <v>142</v>
      </c>
      <c r="G60" s="265">
        <v>3554</v>
      </c>
    </row>
    <row r="61" spans="1:7" ht="16.5" thickBot="1">
      <c r="A61" s="381" t="s">
        <v>633</v>
      </c>
      <c r="B61" s="382"/>
      <c r="C61" s="265">
        <v>-1981</v>
      </c>
      <c r="D61" s="265">
        <v>17937</v>
      </c>
      <c r="E61" s="265">
        <v>-1279</v>
      </c>
      <c r="F61" s="265">
        <v>47</v>
      </c>
      <c r="G61" s="265">
        <v>3677</v>
      </c>
    </row>
    <row r="62" spans="1:7" ht="16.5" thickBot="1">
      <c r="A62" s="381" t="s">
        <v>634</v>
      </c>
      <c r="B62" s="382"/>
      <c r="C62" s="265">
        <v>4014</v>
      </c>
      <c r="D62" s="265">
        <v>3991</v>
      </c>
      <c r="E62" s="265">
        <v>3973</v>
      </c>
      <c r="F62" s="265">
        <v>3972</v>
      </c>
      <c r="G62" s="265">
        <v>3974</v>
      </c>
    </row>
    <row r="63" spans="1:7" ht="16.5" thickBot="1">
      <c r="A63" s="381" t="s">
        <v>635</v>
      </c>
      <c r="B63" s="382"/>
      <c r="C63" s="279">
        <v>-0.49</v>
      </c>
      <c r="D63" s="279">
        <v>4.49</v>
      </c>
      <c r="E63" s="279">
        <v>-0.32</v>
      </c>
      <c r="F63" s="279">
        <v>0.04</v>
      </c>
      <c r="G63" s="279">
        <v>0.89</v>
      </c>
    </row>
    <row r="64" spans="1:7" ht="16.5" thickBot="1">
      <c r="A64" s="381" t="s">
        <v>636</v>
      </c>
      <c r="B64" s="382"/>
      <c r="C64" s="279">
        <v>-0.49</v>
      </c>
      <c r="D64" s="279">
        <v>4.49</v>
      </c>
      <c r="E64" s="279">
        <v>-0.32</v>
      </c>
      <c r="F64" s="279">
        <v>0.01</v>
      </c>
      <c r="G64" s="279">
        <v>0.93</v>
      </c>
    </row>
    <row r="65" spans="1:7" ht="16.5" thickBot="1">
      <c r="A65" s="381" t="s">
        <v>637</v>
      </c>
      <c r="B65" s="382"/>
      <c r="C65" s="265">
        <v>-1981</v>
      </c>
      <c r="D65" s="265">
        <v>17937</v>
      </c>
      <c r="E65" s="265">
        <v>-1279</v>
      </c>
      <c r="F65" s="265">
        <v>47</v>
      </c>
      <c r="G65" s="265">
        <v>3677</v>
      </c>
    </row>
    <row r="66" spans="1:7" ht="16.5" thickBot="1">
      <c r="A66" s="381" t="s">
        <v>638</v>
      </c>
      <c r="B66" s="382"/>
      <c r="C66" s="265">
        <v>4014</v>
      </c>
      <c r="D66" s="265">
        <v>4034</v>
      </c>
      <c r="E66" s="265">
        <v>3973</v>
      </c>
      <c r="F66" s="265">
        <v>4004</v>
      </c>
      <c r="G66" s="265">
        <v>3998</v>
      </c>
    </row>
    <row r="67" spans="1:7" ht="16.5" thickBot="1">
      <c r="A67" s="381" t="s">
        <v>639</v>
      </c>
      <c r="B67" s="382"/>
      <c r="C67" s="279">
        <v>-0.49</v>
      </c>
      <c r="D67" s="279">
        <v>4.45</v>
      </c>
      <c r="E67" s="279">
        <v>-0.32</v>
      </c>
      <c r="F67" s="279">
        <v>0.04</v>
      </c>
      <c r="G67" s="279">
        <v>0.89</v>
      </c>
    </row>
    <row r="68" spans="1:7">
      <c r="A68" s="383" t="s">
        <v>640</v>
      </c>
      <c r="B68" s="384"/>
      <c r="C68" s="279">
        <v>-0.49</v>
      </c>
      <c r="D68" s="279">
        <v>4.45</v>
      </c>
      <c r="E68" s="279">
        <v>-0.32</v>
      </c>
      <c r="F68" s="279">
        <v>0.01</v>
      </c>
      <c r="G68" s="279">
        <v>0.92</v>
      </c>
    </row>
    <row r="69" spans="1:7" ht="15.95" customHeight="1" thickBot="1">
      <c r="A69" s="391" t="s">
        <v>490</v>
      </c>
      <c r="B69" s="391"/>
      <c r="C69" s="263"/>
      <c r="D69" s="263"/>
      <c r="E69" s="263"/>
      <c r="F69" s="263"/>
      <c r="G69" s="263"/>
    </row>
    <row r="70" spans="1:7" ht="16.5" thickBot="1">
      <c r="A70" s="381" t="s">
        <v>641</v>
      </c>
      <c r="B70" s="382"/>
      <c r="C70" s="279">
        <v>0.5</v>
      </c>
      <c r="D70" s="279">
        <v>0.1</v>
      </c>
      <c r="E70" s="279">
        <v>0.15</v>
      </c>
      <c r="F70" s="279">
        <v>0.6</v>
      </c>
      <c r="G70" s="279">
        <v>0.6</v>
      </c>
    </row>
    <row r="71" spans="1:7" ht="16.5" thickBot="1">
      <c r="A71" s="381" t="s">
        <v>642</v>
      </c>
      <c r="B71" s="382"/>
      <c r="C71" s="279" t="s">
        <v>388</v>
      </c>
      <c r="D71" s="279" t="s">
        <v>388</v>
      </c>
      <c r="E71" s="279">
        <v>0.15</v>
      </c>
      <c r="F71" s="279" t="s">
        <v>388</v>
      </c>
      <c r="G71" s="279" t="s">
        <v>388</v>
      </c>
    </row>
    <row r="72" spans="1:7" ht="16.5" thickBot="1">
      <c r="A72" s="381" t="s">
        <v>643</v>
      </c>
      <c r="B72" s="382"/>
      <c r="C72" s="279" t="s">
        <v>388</v>
      </c>
      <c r="D72" s="279" t="s">
        <v>388</v>
      </c>
      <c r="E72" s="279" t="s">
        <v>388</v>
      </c>
      <c r="F72" s="279" t="s">
        <v>388</v>
      </c>
      <c r="G72" s="279">
        <v>0.13</v>
      </c>
    </row>
    <row r="73" spans="1:7" ht="16.5" thickBot="1">
      <c r="A73" s="381" t="s">
        <v>644</v>
      </c>
      <c r="B73" s="382"/>
      <c r="C73" s="265">
        <v>2034</v>
      </c>
      <c r="D73" s="265">
        <v>411</v>
      </c>
      <c r="E73" s="265">
        <v>608</v>
      </c>
      <c r="F73" s="265">
        <v>2408</v>
      </c>
      <c r="G73" s="265">
        <v>2915</v>
      </c>
    </row>
    <row r="74" spans="1:7" ht="16.5" thickBot="1">
      <c r="A74" s="381" t="s">
        <v>645</v>
      </c>
      <c r="B74" s="382"/>
      <c r="C74" s="265">
        <v>2812</v>
      </c>
      <c r="D74" s="265" t="s">
        <v>388</v>
      </c>
      <c r="E74" s="265" t="s">
        <v>388</v>
      </c>
      <c r="F74" s="265" t="s">
        <v>388</v>
      </c>
      <c r="G74" s="265" t="s">
        <v>388</v>
      </c>
    </row>
    <row r="75" spans="1:7" ht="16.5" thickBot="1">
      <c r="A75" s="381" t="s">
        <v>646</v>
      </c>
      <c r="B75" s="382"/>
      <c r="C75" s="265">
        <v>155</v>
      </c>
      <c r="D75" s="265" t="s">
        <v>388</v>
      </c>
      <c r="E75" s="265" t="s">
        <v>388</v>
      </c>
      <c r="F75" s="265" t="s">
        <v>388</v>
      </c>
      <c r="G75" s="265" t="s">
        <v>388</v>
      </c>
    </row>
    <row r="76" spans="1:7" ht="16.5" thickBot="1">
      <c r="A76" s="381" t="s">
        <v>647</v>
      </c>
      <c r="B76" s="382"/>
      <c r="C76" s="265">
        <v>1732</v>
      </c>
      <c r="D76" s="265">
        <v>-2397</v>
      </c>
      <c r="E76" s="265">
        <v>6528</v>
      </c>
      <c r="F76" s="265">
        <v>5195</v>
      </c>
      <c r="G76" s="265">
        <v>1429</v>
      </c>
    </row>
    <row r="77" spans="1:7" ht="16.5" thickBot="1">
      <c r="A77" s="381" t="s">
        <v>648</v>
      </c>
      <c r="B77" s="382"/>
      <c r="C77" s="265">
        <v>4699</v>
      </c>
      <c r="D77" s="265">
        <v>-2397</v>
      </c>
      <c r="E77" s="265">
        <v>6528</v>
      </c>
      <c r="F77" s="265">
        <v>5195</v>
      </c>
      <c r="G77" s="265">
        <v>1429</v>
      </c>
    </row>
    <row r="78" spans="1:7" ht="16.5" thickBot="1">
      <c r="A78" s="381" t="s">
        <v>649</v>
      </c>
      <c r="B78" s="382"/>
      <c r="C78" s="265">
        <v>4852</v>
      </c>
      <c r="D78" s="265">
        <v>-695</v>
      </c>
      <c r="E78" s="265">
        <v>6552</v>
      </c>
      <c r="F78" s="265">
        <v>6054</v>
      </c>
      <c r="G78" s="265">
        <v>1429</v>
      </c>
    </row>
    <row r="79" spans="1:7" ht="16.5" thickBot="1">
      <c r="A79" s="381" t="s">
        <v>650</v>
      </c>
      <c r="B79" s="382"/>
      <c r="C79" s="265">
        <v>1836</v>
      </c>
      <c r="D79" s="265">
        <v>17085</v>
      </c>
      <c r="E79" s="265">
        <v>5436</v>
      </c>
      <c r="F79" s="265">
        <v>5414</v>
      </c>
      <c r="G79" s="265">
        <v>5774</v>
      </c>
    </row>
    <row r="80" spans="1:7" ht="16.5" thickBot="1">
      <c r="A80" s="381" t="s">
        <v>651</v>
      </c>
      <c r="B80" s="382"/>
      <c r="C80" s="265">
        <v>-2573</v>
      </c>
      <c r="D80" s="265">
        <v>-1924</v>
      </c>
      <c r="E80" s="265">
        <v>670</v>
      </c>
      <c r="F80" s="265">
        <v>-1323</v>
      </c>
      <c r="G80" s="265">
        <v>-88</v>
      </c>
    </row>
    <row r="81" spans="1:7" ht="16.5" thickBot="1">
      <c r="A81" s="381" t="s">
        <v>652</v>
      </c>
      <c r="B81" s="382"/>
      <c r="C81" s="265">
        <v>-3437</v>
      </c>
      <c r="D81" s="265">
        <v>-2054</v>
      </c>
      <c r="E81" s="265">
        <v>830</v>
      </c>
      <c r="F81" s="265">
        <v>-2142</v>
      </c>
      <c r="G81" s="265">
        <v>685</v>
      </c>
    </row>
    <row r="82" spans="1:7" ht="16.5" thickBot="1">
      <c r="A82" s="381" t="s">
        <v>653</v>
      </c>
      <c r="B82" s="382"/>
      <c r="C82" s="265">
        <v>5273</v>
      </c>
      <c r="D82" s="265">
        <v>19139</v>
      </c>
      <c r="E82" s="265">
        <v>4606</v>
      </c>
      <c r="F82" s="265">
        <v>7556</v>
      </c>
      <c r="G82" s="265">
        <v>5089</v>
      </c>
    </row>
    <row r="83" spans="1:7" ht="16.5" thickBot="1">
      <c r="A83" s="381" t="s">
        <v>654</v>
      </c>
      <c r="B83" s="382"/>
      <c r="C83" s="265">
        <v>5444</v>
      </c>
      <c r="D83" s="265">
        <v>19166</v>
      </c>
      <c r="E83" s="265">
        <v>4603</v>
      </c>
      <c r="F83" s="265">
        <v>7519</v>
      </c>
      <c r="G83" s="265">
        <v>5071</v>
      </c>
    </row>
    <row r="84" spans="1:7" ht="16.5" thickBot="1">
      <c r="A84" s="381" t="s">
        <v>655</v>
      </c>
      <c r="B84" s="382"/>
      <c r="C84" s="279">
        <v>1.36</v>
      </c>
      <c r="D84" s="279">
        <v>4.8</v>
      </c>
      <c r="E84" s="279">
        <v>1.1599999999999999</v>
      </c>
      <c r="F84" s="279">
        <v>1.89</v>
      </c>
      <c r="G84" s="279">
        <v>1.28</v>
      </c>
    </row>
    <row r="85" spans="1:7" ht="16.5" thickBot="1">
      <c r="A85" s="381" t="s">
        <v>656</v>
      </c>
      <c r="B85" s="382"/>
      <c r="C85" s="279">
        <v>1.36</v>
      </c>
      <c r="D85" s="279">
        <v>4.75</v>
      </c>
      <c r="E85" s="279">
        <v>1.1599999999999999</v>
      </c>
      <c r="F85" s="279">
        <v>1.88</v>
      </c>
      <c r="G85" s="279">
        <v>1.27</v>
      </c>
    </row>
    <row r="86" spans="1:7" ht="16.5" thickBot="1">
      <c r="A86" s="381" t="s">
        <v>657</v>
      </c>
      <c r="B86" s="382"/>
      <c r="C86" s="265">
        <v>7642</v>
      </c>
      <c r="D86" s="265">
        <v>7318</v>
      </c>
      <c r="E86" s="265">
        <v>8751</v>
      </c>
      <c r="F86" s="265">
        <v>9689</v>
      </c>
      <c r="G86" s="265">
        <v>9280</v>
      </c>
    </row>
    <row r="87" spans="1:7" ht="16.5" thickBot="1">
      <c r="A87" s="381" t="s">
        <v>658</v>
      </c>
      <c r="B87" s="382"/>
      <c r="C87" s="265">
        <v>60</v>
      </c>
      <c r="D87" s="265">
        <v>34</v>
      </c>
      <c r="E87" s="265">
        <v>27</v>
      </c>
      <c r="F87" s="265">
        <v>15</v>
      </c>
      <c r="G87" s="265" t="s">
        <v>388</v>
      </c>
    </row>
    <row r="88" spans="1:7" ht="16.5" thickBot="1">
      <c r="A88" s="381" t="s">
        <v>659</v>
      </c>
      <c r="B88" s="382"/>
      <c r="C88" s="265">
        <v>7755</v>
      </c>
      <c r="D88" s="265">
        <v>7055</v>
      </c>
      <c r="E88" s="265">
        <v>10256</v>
      </c>
      <c r="F88" s="265">
        <v>10504</v>
      </c>
      <c r="G88" s="265">
        <v>10689</v>
      </c>
    </row>
    <row r="89" spans="1:7" ht="16.5" thickBot="1">
      <c r="A89" s="381" t="s">
        <v>660</v>
      </c>
      <c r="B89" s="382"/>
      <c r="C89" s="265">
        <v>22</v>
      </c>
      <c r="D89" s="265">
        <v>14</v>
      </c>
      <c r="E89" s="265">
        <v>15</v>
      </c>
      <c r="F89" s="265">
        <v>6</v>
      </c>
      <c r="G89" s="265" t="s">
        <v>388</v>
      </c>
    </row>
    <row r="90" spans="1:7" ht="16.5" thickBot="1">
      <c r="A90" s="381" t="s">
        <v>661</v>
      </c>
      <c r="B90" s="382"/>
      <c r="C90" s="265">
        <v>6496</v>
      </c>
      <c r="D90" s="265">
        <v>5252</v>
      </c>
      <c r="E90" s="265">
        <v>8607</v>
      </c>
      <c r="F90" s="265">
        <v>9484</v>
      </c>
      <c r="G90" s="265">
        <v>9461</v>
      </c>
    </row>
    <row r="91" spans="1:7" ht="16.5" thickBot="1">
      <c r="A91" s="381" t="s">
        <v>662</v>
      </c>
      <c r="B91" s="382"/>
      <c r="C91" s="265">
        <v>463</v>
      </c>
      <c r="D91" s="265">
        <v>444</v>
      </c>
      <c r="E91" s="265">
        <v>463</v>
      </c>
      <c r="F91" s="265">
        <v>520</v>
      </c>
      <c r="G91" s="265">
        <v>552</v>
      </c>
    </row>
    <row r="92" spans="1:7" ht="16.5" thickBot="1">
      <c r="A92" s="381" t="s">
        <v>663</v>
      </c>
      <c r="B92" s="382"/>
      <c r="C92" s="265">
        <v>336</v>
      </c>
      <c r="D92" s="265">
        <v>305</v>
      </c>
      <c r="E92" s="265">
        <v>199</v>
      </c>
      <c r="F92" s="265">
        <v>228</v>
      </c>
      <c r="G92" s="265">
        <v>191</v>
      </c>
    </row>
    <row r="93" spans="1:7" ht="16.5" thickBot="1">
      <c r="A93" s="381" t="s">
        <v>664</v>
      </c>
      <c r="B93" s="382"/>
      <c r="C93" s="265">
        <v>62</v>
      </c>
      <c r="D93" s="265">
        <v>49</v>
      </c>
      <c r="E93" s="265">
        <v>57</v>
      </c>
      <c r="F93" s="265" t="s">
        <v>388</v>
      </c>
      <c r="G93" s="265" t="s">
        <v>388</v>
      </c>
    </row>
    <row r="94" spans="1:7" ht="16.5" thickBot="1">
      <c r="A94" s="381" t="s">
        <v>665</v>
      </c>
      <c r="B94" s="382"/>
      <c r="C94" s="265">
        <v>-15</v>
      </c>
      <c r="D94" s="265">
        <v>-16</v>
      </c>
      <c r="E94" s="265">
        <v>-14</v>
      </c>
      <c r="F94" s="265" t="s">
        <v>388</v>
      </c>
      <c r="G94" s="265" t="s">
        <v>388</v>
      </c>
    </row>
    <row r="95" spans="1:7" ht="16.5" thickBot="1">
      <c r="A95" s="381" t="s">
        <v>666</v>
      </c>
      <c r="B95" s="382"/>
      <c r="C95" s="265">
        <v>592</v>
      </c>
      <c r="D95" s="265">
        <v>525</v>
      </c>
      <c r="E95" s="265">
        <v>548</v>
      </c>
      <c r="F95" s="265" t="s">
        <v>388</v>
      </c>
      <c r="G95" s="265" t="s">
        <v>388</v>
      </c>
    </row>
    <row r="96" spans="1:7" ht="16.5" thickBot="1">
      <c r="A96" s="381" t="s">
        <v>667</v>
      </c>
      <c r="B96" s="382"/>
      <c r="C96" s="265">
        <v>2200</v>
      </c>
      <c r="D96" s="265">
        <v>3100</v>
      </c>
      <c r="E96" s="265">
        <v>2800</v>
      </c>
      <c r="F96" s="265">
        <v>3600</v>
      </c>
      <c r="G96" s="265">
        <v>4000</v>
      </c>
    </row>
    <row r="97" spans="1:7" ht="16.5" thickBot="1">
      <c r="A97" s="381" t="s">
        <v>668</v>
      </c>
      <c r="B97" s="382"/>
      <c r="C97" s="265">
        <v>-2883</v>
      </c>
      <c r="D97" s="265">
        <v>327</v>
      </c>
      <c r="E97" s="265">
        <v>42</v>
      </c>
      <c r="F97" s="265">
        <v>32</v>
      </c>
      <c r="G97" s="265">
        <v>123</v>
      </c>
    </row>
    <row r="98" spans="1:7" ht="16.5" thickBot="1">
      <c r="A98" s="381" t="s">
        <v>669</v>
      </c>
      <c r="B98" s="382"/>
      <c r="C98" s="265">
        <v>171</v>
      </c>
      <c r="D98" s="265">
        <v>27</v>
      </c>
      <c r="E98" s="265">
        <v>-3</v>
      </c>
      <c r="F98" s="265">
        <v>-37</v>
      </c>
      <c r="G98" s="265">
        <v>-18</v>
      </c>
    </row>
    <row r="99" spans="1:7" ht="16.5" thickBot="1">
      <c r="A99" s="381" t="s">
        <v>670</v>
      </c>
      <c r="B99" s="382"/>
      <c r="C99" s="265" t="s">
        <v>388</v>
      </c>
      <c r="D99" s="265" t="s">
        <v>388</v>
      </c>
      <c r="E99" s="265" t="s">
        <v>388</v>
      </c>
      <c r="F99" s="265">
        <v>95</v>
      </c>
      <c r="G99" s="265">
        <v>-123</v>
      </c>
    </row>
    <row r="100" spans="1:7" ht="16.5" thickBot="1">
      <c r="A100" s="381" t="s">
        <v>671</v>
      </c>
      <c r="B100" s="382"/>
      <c r="C100" s="265">
        <v>7800</v>
      </c>
      <c r="D100" s="265">
        <v>7600</v>
      </c>
      <c r="E100" s="265">
        <v>7100</v>
      </c>
      <c r="F100" s="265">
        <v>7400</v>
      </c>
      <c r="G100" s="265">
        <v>8200</v>
      </c>
    </row>
    <row r="101" spans="1:7" ht="16.5" thickBot="1">
      <c r="A101" s="381" t="s">
        <v>672</v>
      </c>
      <c r="B101" s="382"/>
      <c r="C101" s="265">
        <v>38</v>
      </c>
      <c r="D101" s="265">
        <v>37</v>
      </c>
      <c r="E101" s="265">
        <v>37</v>
      </c>
      <c r="F101" s="265">
        <v>39</v>
      </c>
      <c r="G101" s="265">
        <v>38</v>
      </c>
    </row>
    <row r="102" spans="1:7" ht="16.5" thickBot="1">
      <c r="A102" s="381" t="s">
        <v>673</v>
      </c>
      <c r="B102" s="382"/>
      <c r="C102" s="265">
        <v>5</v>
      </c>
      <c r="D102" s="265">
        <v>4</v>
      </c>
      <c r="E102" s="265">
        <v>4</v>
      </c>
      <c r="F102" s="265">
        <v>4</v>
      </c>
      <c r="G102" s="265">
        <v>4</v>
      </c>
    </row>
    <row r="103" spans="1:7" ht="16.5" thickBot="1">
      <c r="A103" s="381" t="s">
        <v>674</v>
      </c>
      <c r="B103" s="382"/>
      <c r="C103" s="265">
        <v>3</v>
      </c>
      <c r="D103" s="265">
        <v>4</v>
      </c>
      <c r="E103" s="265">
        <v>3</v>
      </c>
      <c r="F103" s="265">
        <v>3</v>
      </c>
      <c r="G103" s="265">
        <v>3</v>
      </c>
    </row>
    <row r="104" spans="1:7" ht="16.5" thickBot="1">
      <c r="A104" s="381" t="s">
        <v>675</v>
      </c>
      <c r="B104" s="382"/>
      <c r="C104" s="265">
        <v>0</v>
      </c>
      <c r="D104" s="265">
        <v>0</v>
      </c>
      <c r="E104" s="265">
        <v>0</v>
      </c>
      <c r="F104" s="265">
        <v>2</v>
      </c>
      <c r="G104" s="265">
        <v>1</v>
      </c>
    </row>
    <row r="105" spans="1:7" ht="16.5" thickBot="1">
      <c r="A105" s="381" t="s">
        <v>676</v>
      </c>
      <c r="B105" s="382"/>
      <c r="C105" s="265">
        <v>39</v>
      </c>
      <c r="D105" s="265">
        <v>-310</v>
      </c>
      <c r="E105" s="265">
        <v>828</v>
      </c>
      <c r="F105" s="265" t="s">
        <v>388</v>
      </c>
      <c r="G105" s="265" t="s">
        <v>388</v>
      </c>
    </row>
    <row r="106" spans="1:7" ht="16.5" thickBot="1">
      <c r="A106" s="381" t="s">
        <v>677</v>
      </c>
      <c r="B106" s="382"/>
      <c r="C106" s="265">
        <v>11007</v>
      </c>
      <c r="D106" s="265">
        <v>2126</v>
      </c>
      <c r="E106" s="265">
        <v>2143</v>
      </c>
      <c r="F106" s="265">
        <v>6529</v>
      </c>
      <c r="G106" s="265">
        <v>4634</v>
      </c>
    </row>
    <row r="107" spans="1:7">
      <c r="A107" s="383" t="s">
        <v>678</v>
      </c>
      <c r="B107" s="384"/>
      <c r="C107" s="265">
        <v>18649</v>
      </c>
      <c r="D107" s="265">
        <v>9444</v>
      </c>
      <c r="E107" s="265">
        <v>10894</v>
      </c>
      <c r="F107" s="265">
        <v>16218</v>
      </c>
      <c r="G107" s="265">
        <v>13914</v>
      </c>
    </row>
    <row r="108" spans="1:7" ht="15.95" customHeight="1" thickBot="1">
      <c r="A108" s="391" t="s">
        <v>679</v>
      </c>
      <c r="B108" s="391"/>
      <c r="C108" s="263"/>
      <c r="D108" s="263"/>
      <c r="E108" s="263"/>
      <c r="F108" s="263"/>
      <c r="G108" s="263"/>
    </row>
    <row r="109" spans="1:7" ht="16.5" thickBot="1">
      <c r="A109" s="389" t="s">
        <v>680</v>
      </c>
      <c r="B109" s="390"/>
      <c r="C109" s="267">
        <v>972</v>
      </c>
      <c r="D109" s="267">
        <v>726</v>
      </c>
      <c r="E109" s="267">
        <v>486</v>
      </c>
      <c r="F109" s="267">
        <v>670</v>
      </c>
      <c r="G109" s="267">
        <v>759</v>
      </c>
    </row>
    <row r="110" spans="1:7" ht="16.5" thickBot="1">
      <c r="A110" s="387" t="s">
        <v>681</v>
      </c>
      <c r="B110" s="388"/>
      <c r="C110" s="269">
        <v>68</v>
      </c>
      <c r="D110" s="269">
        <v>102</v>
      </c>
      <c r="E110" s="269">
        <v>-23</v>
      </c>
      <c r="F110" s="269">
        <v>-101</v>
      </c>
      <c r="G110" s="269">
        <v>75</v>
      </c>
    </row>
    <row r="111" spans="1:7" ht="16.5" thickBot="1">
      <c r="A111" s="387" t="s">
        <v>682</v>
      </c>
      <c r="B111" s="388"/>
      <c r="C111" s="269">
        <v>781</v>
      </c>
      <c r="D111" s="269">
        <v>598</v>
      </c>
      <c r="E111" s="269">
        <v>554</v>
      </c>
      <c r="F111" s="269">
        <v>738</v>
      </c>
      <c r="G111" s="269">
        <v>690</v>
      </c>
    </row>
    <row r="112" spans="1:7" ht="16.5" thickBot="1">
      <c r="A112" s="387" t="s">
        <v>683</v>
      </c>
      <c r="B112" s="388"/>
      <c r="C112" s="269">
        <v>123</v>
      </c>
      <c r="D112" s="269">
        <v>26</v>
      </c>
      <c r="E112" s="269">
        <v>-45</v>
      </c>
      <c r="F112" s="269">
        <v>33</v>
      </c>
      <c r="G112" s="269">
        <v>-6</v>
      </c>
    </row>
    <row r="113" spans="1:7" ht="16.5" thickBot="1">
      <c r="A113" s="389" t="s">
        <v>684</v>
      </c>
      <c r="B113" s="390"/>
      <c r="C113" s="267">
        <v>-1836</v>
      </c>
      <c r="D113" s="267">
        <v>-856</v>
      </c>
      <c r="E113" s="267">
        <v>-326</v>
      </c>
      <c r="F113" s="267">
        <v>-1489</v>
      </c>
      <c r="G113" s="267">
        <v>14</v>
      </c>
    </row>
    <row r="114" spans="1:7" ht="16.5" thickBot="1">
      <c r="A114" s="387" t="s">
        <v>685</v>
      </c>
      <c r="B114" s="388"/>
      <c r="C114" s="269">
        <v>-2292</v>
      </c>
      <c r="D114" s="269">
        <v>2290</v>
      </c>
      <c r="E114" s="269">
        <v>-523</v>
      </c>
      <c r="F114" s="269">
        <v>-1285</v>
      </c>
      <c r="G114" s="269">
        <v>-237</v>
      </c>
    </row>
    <row r="115" spans="1:7" ht="16.5" thickBot="1">
      <c r="A115" s="387" t="s">
        <v>686</v>
      </c>
      <c r="B115" s="388"/>
      <c r="C115" s="269">
        <v>688</v>
      </c>
      <c r="D115" s="269">
        <v>-3254</v>
      </c>
      <c r="E115" s="269">
        <v>168</v>
      </c>
      <c r="F115" s="269">
        <v>-70</v>
      </c>
      <c r="G115" s="269">
        <v>239</v>
      </c>
    </row>
    <row r="116" spans="1:7" ht="16.5" thickBot="1">
      <c r="A116" s="387" t="s">
        <v>687</v>
      </c>
      <c r="B116" s="388"/>
      <c r="C116" s="269">
        <v>-232</v>
      </c>
      <c r="D116" s="269">
        <v>108</v>
      </c>
      <c r="E116" s="269">
        <v>29</v>
      </c>
      <c r="F116" s="269">
        <v>-134</v>
      </c>
      <c r="G116" s="269">
        <v>12</v>
      </c>
    </row>
    <row r="117" spans="1:7" ht="16.5" thickBot="1">
      <c r="A117" s="381" t="s">
        <v>688</v>
      </c>
      <c r="B117" s="382"/>
      <c r="C117" s="265">
        <v>-864</v>
      </c>
      <c r="D117" s="265">
        <v>-130</v>
      </c>
      <c r="E117" s="265">
        <v>160</v>
      </c>
      <c r="F117" s="265">
        <v>-819</v>
      </c>
      <c r="G117" s="265">
        <v>773</v>
      </c>
    </row>
    <row r="118" spans="1:7" ht="16.5" thickBot="1">
      <c r="A118" s="389" t="s">
        <v>689</v>
      </c>
      <c r="B118" s="390"/>
      <c r="C118" s="267">
        <v>1191</v>
      </c>
      <c r="D118" s="267">
        <v>-1437</v>
      </c>
      <c r="E118" s="267">
        <v>-563</v>
      </c>
      <c r="F118" s="267">
        <v>-706</v>
      </c>
      <c r="G118" s="267">
        <v>598</v>
      </c>
    </row>
    <row r="119" spans="1:7" ht="16.5" thickBot="1">
      <c r="A119" s="387" t="s">
        <v>690</v>
      </c>
      <c r="B119" s="388"/>
      <c r="C119" s="269">
        <v>1054</v>
      </c>
      <c r="D119" s="269">
        <v>928</v>
      </c>
      <c r="E119" s="269">
        <v>1291</v>
      </c>
      <c r="F119" s="269">
        <v>1570</v>
      </c>
      <c r="G119" s="269">
        <v>1466</v>
      </c>
    </row>
    <row r="120" spans="1:7" ht="16.5" thickBot="1">
      <c r="A120" s="387" t="s">
        <v>691</v>
      </c>
      <c r="B120" s="388"/>
      <c r="C120" s="269">
        <v>500</v>
      </c>
      <c r="D120" s="269">
        <v>526</v>
      </c>
      <c r="E120" s="269">
        <v>520</v>
      </c>
      <c r="F120" s="269">
        <v>474</v>
      </c>
      <c r="G120" s="269">
        <v>544</v>
      </c>
    </row>
    <row r="121" spans="1:7" ht="16.5" thickBot="1">
      <c r="A121" s="387" t="s">
        <v>692</v>
      </c>
      <c r="B121" s="388"/>
      <c r="C121" s="269">
        <v>2</v>
      </c>
      <c r="D121" s="269">
        <v>2</v>
      </c>
      <c r="E121" s="269">
        <v>4</v>
      </c>
      <c r="F121" s="269">
        <v>87</v>
      </c>
      <c r="G121" s="269">
        <v>143</v>
      </c>
    </row>
    <row r="122" spans="1:7" ht="16.5" thickBot="1">
      <c r="A122" s="387" t="s">
        <v>693</v>
      </c>
      <c r="B122" s="388"/>
      <c r="C122" s="269">
        <v>-2569</v>
      </c>
      <c r="D122" s="269">
        <v>-2728</v>
      </c>
      <c r="E122" s="269">
        <v>-2795</v>
      </c>
      <c r="F122" s="269">
        <v>-2657</v>
      </c>
      <c r="G122" s="269">
        <v>-2887</v>
      </c>
    </row>
    <row r="123" spans="1:7" ht="16.5" thickBot="1">
      <c r="A123" s="387" t="s">
        <v>694</v>
      </c>
      <c r="B123" s="388"/>
      <c r="C123" s="269">
        <v>1720</v>
      </c>
      <c r="D123" s="269">
        <v>-254</v>
      </c>
      <c r="E123" s="269">
        <v>377</v>
      </c>
      <c r="F123" s="269">
        <v>-135</v>
      </c>
      <c r="G123" s="269" t="s">
        <v>388</v>
      </c>
    </row>
    <row r="124" spans="1:7" ht="16.5" thickBot="1">
      <c r="A124" s="387" t="s">
        <v>695</v>
      </c>
      <c r="B124" s="388"/>
      <c r="C124" s="269">
        <v>438</v>
      </c>
      <c r="D124" s="269">
        <v>70</v>
      </c>
      <c r="E124" s="269">
        <v>5</v>
      </c>
      <c r="F124" s="269">
        <v>-67</v>
      </c>
      <c r="G124" s="269">
        <v>38</v>
      </c>
    </row>
    <row r="125" spans="1:7" ht="16.5" thickBot="1">
      <c r="A125" s="387" t="s">
        <v>696</v>
      </c>
      <c r="B125" s="388"/>
      <c r="C125" s="269">
        <v>46</v>
      </c>
      <c r="D125" s="269">
        <v>19</v>
      </c>
      <c r="E125" s="269">
        <v>35</v>
      </c>
      <c r="F125" s="269">
        <v>22</v>
      </c>
      <c r="G125" s="269">
        <v>1294</v>
      </c>
    </row>
    <row r="126" spans="1:7" ht="16.5" thickBot="1">
      <c r="A126" s="389" t="s">
        <v>697</v>
      </c>
      <c r="B126" s="390"/>
      <c r="C126" s="267">
        <v>-439</v>
      </c>
      <c r="D126" s="267">
        <v>-3216</v>
      </c>
      <c r="E126" s="267">
        <v>836</v>
      </c>
      <c r="F126" s="267">
        <v>2596</v>
      </c>
      <c r="G126" s="267">
        <v>27</v>
      </c>
    </row>
    <row r="127" spans="1:7" ht="16.5" thickBot="1">
      <c r="A127" s="387" t="s">
        <v>698</v>
      </c>
      <c r="B127" s="388"/>
      <c r="C127" s="269">
        <v>504</v>
      </c>
      <c r="D127" s="269">
        <v>420</v>
      </c>
      <c r="E127" s="269">
        <v>514</v>
      </c>
      <c r="F127" s="269">
        <v>691</v>
      </c>
      <c r="G127" s="269">
        <v>684</v>
      </c>
    </row>
    <row r="128" spans="1:7" ht="16.5" thickBot="1">
      <c r="A128" s="387" t="s">
        <v>699</v>
      </c>
      <c r="B128" s="388"/>
      <c r="C128" s="269">
        <v>416</v>
      </c>
      <c r="D128" s="269">
        <v>557</v>
      </c>
      <c r="E128" s="269">
        <v>529</v>
      </c>
      <c r="F128" s="269">
        <v>506</v>
      </c>
      <c r="G128" s="269">
        <v>588</v>
      </c>
    </row>
    <row r="129" spans="1:7" ht="16.5" thickBot="1">
      <c r="A129" s="387" t="s">
        <v>700</v>
      </c>
      <c r="B129" s="388"/>
      <c r="C129" s="269">
        <v>22</v>
      </c>
      <c r="D129" s="269">
        <v>24</v>
      </c>
      <c r="E129" s="269">
        <v>32</v>
      </c>
      <c r="F129" s="269">
        <v>33</v>
      </c>
      <c r="G129" s="269">
        <v>25</v>
      </c>
    </row>
    <row r="130" spans="1:7" ht="16.5" thickBot="1">
      <c r="A130" s="387" t="s">
        <v>701</v>
      </c>
      <c r="B130" s="388"/>
      <c r="C130" s="269">
        <v>-1006</v>
      </c>
      <c r="D130" s="269">
        <v>-1130</v>
      </c>
      <c r="E130" s="269">
        <v>-1067</v>
      </c>
      <c r="F130" s="269">
        <v>-1124</v>
      </c>
      <c r="G130" s="269">
        <v>-1295</v>
      </c>
    </row>
    <row r="131" spans="1:7" ht="16.5" thickBot="1">
      <c r="A131" s="387" t="s">
        <v>702</v>
      </c>
      <c r="B131" s="388"/>
      <c r="C131" s="269">
        <v>-436</v>
      </c>
      <c r="D131" s="269">
        <v>-3241</v>
      </c>
      <c r="E131" s="269">
        <v>499</v>
      </c>
      <c r="F131" s="269">
        <v>2084</v>
      </c>
      <c r="G131" s="269" t="s">
        <v>388</v>
      </c>
    </row>
    <row r="132" spans="1:7" ht="16.5" thickBot="1">
      <c r="A132" s="387" t="s">
        <v>703</v>
      </c>
      <c r="B132" s="388"/>
      <c r="C132" s="269">
        <v>-2</v>
      </c>
      <c r="D132" s="269">
        <v>-2</v>
      </c>
      <c r="E132" s="269">
        <v>103</v>
      </c>
      <c r="F132" s="269">
        <v>8</v>
      </c>
      <c r="G132" s="269">
        <v>101</v>
      </c>
    </row>
    <row r="133" spans="1:7" ht="16.5" thickBot="1">
      <c r="A133" s="387" t="s">
        <v>704</v>
      </c>
      <c r="B133" s="388"/>
      <c r="C133" s="269">
        <v>63</v>
      </c>
      <c r="D133" s="269">
        <v>156</v>
      </c>
      <c r="E133" s="269">
        <v>226</v>
      </c>
      <c r="F133" s="269">
        <v>398</v>
      </c>
      <c r="G133" s="269">
        <v>-76</v>
      </c>
    </row>
    <row r="134" spans="1:7" ht="16.5" thickBot="1">
      <c r="A134" s="389" t="s">
        <v>705</v>
      </c>
      <c r="B134" s="390"/>
      <c r="C134" s="267">
        <v>-1129</v>
      </c>
      <c r="D134" s="267">
        <v>-212</v>
      </c>
      <c r="E134" s="267">
        <v>754</v>
      </c>
      <c r="F134" s="267">
        <v>735</v>
      </c>
      <c r="G134" s="267">
        <v>-225</v>
      </c>
    </row>
    <row r="135" spans="1:7" ht="16.5" thickBot="1">
      <c r="A135" s="387" t="s">
        <v>706</v>
      </c>
      <c r="B135" s="388"/>
      <c r="C135" s="269">
        <v>146</v>
      </c>
      <c r="D135" s="269">
        <v>127</v>
      </c>
      <c r="E135" s="269">
        <v>169</v>
      </c>
      <c r="F135" s="269">
        <v>211</v>
      </c>
      <c r="G135" s="269">
        <v>195</v>
      </c>
    </row>
    <row r="136" spans="1:7" ht="16.5" thickBot="1">
      <c r="A136" s="387" t="s">
        <v>707</v>
      </c>
      <c r="B136" s="388"/>
      <c r="C136" s="269">
        <v>42</v>
      </c>
      <c r="D136" s="269">
        <v>49</v>
      </c>
      <c r="E136" s="269">
        <v>47</v>
      </c>
      <c r="F136" s="269">
        <v>43</v>
      </c>
      <c r="G136" s="269">
        <v>54</v>
      </c>
    </row>
    <row r="137" spans="1:7" ht="16.5" thickBot="1">
      <c r="A137" s="387" t="s">
        <v>708</v>
      </c>
      <c r="B137" s="388"/>
      <c r="C137" s="269">
        <v>-3</v>
      </c>
      <c r="D137" s="269">
        <v>-12</v>
      </c>
      <c r="E137" s="269">
        <v>-16</v>
      </c>
      <c r="F137" s="269">
        <v>-70</v>
      </c>
      <c r="G137" s="269">
        <v>-109</v>
      </c>
    </row>
    <row r="138" spans="1:7" ht="16.5" thickBot="1">
      <c r="A138" s="387" t="s">
        <v>709</v>
      </c>
      <c r="B138" s="388"/>
      <c r="C138" s="269">
        <v>0</v>
      </c>
      <c r="D138" s="269">
        <v>0</v>
      </c>
      <c r="E138" s="269">
        <v>0</v>
      </c>
      <c r="F138" s="269">
        <v>0</v>
      </c>
      <c r="G138" s="269">
        <v>0</v>
      </c>
    </row>
    <row r="139" spans="1:7" ht="16.5" thickBot="1">
      <c r="A139" s="387" t="s">
        <v>710</v>
      </c>
      <c r="B139" s="388"/>
      <c r="C139" s="269">
        <v>0</v>
      </c>
      <c r="D139" s="269">
        <v>0</v>
      </c>
      <c r="E139" s="269">
        <v>-2</v>
      </c>
      <c r="F139" s="269">
        <v>0</v>
      </c>
      <c r="G139" s="269">
        <v>1</v>
      </c>
    </row>
    <row r="140" spans="1:7" ht="16.5" thickBot="1">
      <c r="A140" s="387" t="s">
        <v>711</v>
      </c>
      <c r="B140" s="388"/>
      <c r="C140" s="269">
        <v>-1314</v>
      </c>
      <c r="D140" s="269">
        <v>-376</v>
      </c>
      <c r="E140" s="269">
        <v>556</v>
      </c>
      <c r="F140" s="269">
        <v>551</v>
      </c>
      <c r="G140" s="269">
        <v>-366</v>
      </c>
    </row>
    <row r="141" spans="1:7" ht="16.5" thickBot="1">
      <c r="A141" s="389" t="s">
        <v>712</v>
      </c>
      <c r="B141" s="390"/>
      <c r="C141" s="267">
        <v>101</v>
      </c>
      <c r="D141" s="267">
        <v>-4281</v>
      </c>
      <c r="E141" s="267">
        <v>1425</v>
      </c>
      <c r="F141" s="267">
        <v>3069</v>
      </c>
      <c r="G141" s="267">
        <v>400</v>
      </c>
    </row>
    <row r="142" spans="1:7" ht="16.5" thickBot="1">
      <c r="A142" s="387" t="s">
        <v>713</v>
      </c>
      <c r="B142" s="388"/>
      <c r="C142" s="269">
        <v>152</v>
      </c>
      <c r="D142" s="269">
        <v>584</v>
      </c>
      <c r="E142" s="269">
        <v>398</v>
      </c>
      <c r="F142" s="269">
        <v>444</v>
      </c>
      <c r="G142" s="269" t="s">
        <v>388</v>
      </c>
    </row>
    <row r="143" spans="1:7" ht="16.5" thickBot="1">
      <c r="A143" s="387" t="s">
        <v>714</v>
      </c>
      <c r="B143" s="388"/>
      <c r="C143" s="269">
        <v>326</v>
      </c>
      <c r="D143" s="269" t="s">
        <v>388</v>
      </c>
      <c r="E143" s="269" t="s">
        <v>388</v>
      </c>
      <c r="F143" s="269" t="s">
        <v>388</v>
      </c>
      <c r="G143" s="269" t="s">
        <v>388</v>
      </c>
    </row>
    <row r="144" spans="1:7" ht="16.5" thickBot="1">
      <c r="A144" s="389" t="s">
        <v>715</v>
      </c>
      <c r="B144" s="390"/>
      <c r="C144" s="267" t="s">
        <v>388</v>
      </c>
      <c r="D144" s="267" t="s">
        <v>388</v>
      </c>
      <c r="E144" s="267" t="s">
        <v>388</v>
      </c>
      <c r="F144" s="267" t="s">
        <v>388</v>
      </c>
      <c r="G144" s="267" t="s">
        <v>388</v>
      </c>
    </row>
    <row r="145" spans="1:7" ht="16.5" thickBot="1">
      <c r="A145" s="387" t="s">
        <v>569</v>
      </c>
      <c r="B145" s="388"/>
      <c r="C145" s="278">
        <v>3.1199999999999999E-2</v>
      </c>
      <c r="D145" s="278">
        <v>3.0200000000000001E-2</v>
      </c>
      <c r="E145" s="278">
        <v>3.5499999999999997E-2</v>
      </c>
      <c r="F145" s="278">
        <v>4.1700000000000001E-2</v>
      </c>
      <c r="G145" s="278">
        <v>3.6700000000000003E-2</v>
      </c>
    </row>
    <row r="146" spans="1:7" ht="16.5" thickBot="1">
      <c r="A146" s="387" t="s">
        <v>570</v>
      </c>
      <c r="B146" s="388"/>
      <c r="C146" s="278">
        <v>1.78E-2</v>
      </c>
      <c r="D146" s="278">
        <v>1.44E-2</v>
      </c>
      <c r="E146" s="278">
        <v>1.7500000000000002E-2</v>
      </c>
      <c r="F146" s="278">
        <v>2.52E-2</v>
      </c>
      <c r="G146" s="278">
        <v>2.3900000000000001E-2</v>
      </c>
    </row>
    <row r="147" spans="1:7" ht="16.5" thickBot="1">
      <c r="A147" s="387" t="s">
        <v>571</v>
      </c>
      <c r="B147" s="388"/>
      <c r="C147" s="278">
        <v>3.27E-2</v>
      </c>
      <c r="D147" s="278">
        <v>3.1399999999999997E-2</v>
      </c>
      <c r="E147" s="278">
        <v>3.5700000000000003E-2</v>
      </c>
      <c r="F147" s="278">
        <v>4.3400000000000001E-2</v>
      </c>
      <c r="G147" s="278">
        <v>3.6999999999999998E-2</v>
      </c>
    </row>
    <row r="148" spans="1:7" ht="16.5" thickBot="1">
      <c r="A148" s="387" t="s">
        <v>716</v>
      </c>
      <c r="B148" s="388"/>
      <c r="C148" s="278">
        <v>5.7500000000000002E-2</v>
      </c>
      <c r="D148" s="278">
        <v>0.06</v>
      </c>
      <c r="E148" s="278">
        <v>6.5000000000000002E-2</v>
      </c>
      <c r="F148" s="278">
        <v>6.7500000000000004E-2</v>
      </c>
      <c r="G148" s="278">
        <v>6.7500000000000004E-2</v>
      </c>
    </row>
    <row r="149" spans="1:7" ht="16.5" thickBot="1">
      <c r="A149" s="387" t="s">
        <v>717</v>
      </c>
      <c r="B149" s="388"/>
      <c r="C149" s="278">
        <v>3.2899999999999999E-2</v>
      </c>
      <c r="D149" s="278">
        <v>3.4200000000000001E-2</v>
      </c>
      <c r="E149" s="278">
        <v>3.6700000000000003E-2</v>
      </c>
      <c r="F149" s="278">
        <v>4.1799999999999997E-2</v>
      </c>
      <c r="G149" s="278">
        <v>4.5100000000000001E-2</v>
      </c>
    </row>
    <row r="150" spans="1:7" ht="16.5" thickBot="1">
      <c r="A150" s="387" t="s">
        <v>718</v>
      </c>
      <c r="B150" s="388"/>
      <c r="C150" s="278">
        <v>0</v>
      </c>
      <c r="D150" s="278">
        <v>0</v>
      </c>
      <c r="E150" s="278">
        <v>0</v>
      </c>
      <c r="F150" s="278">
        <v>0</v>
      </c>
      <c r="G150" s="278">
        <v>0</v>
      </c>
    </row>
    <row r="151" spans="1:7" ht="16.5" thickBot="1">
      <c r="A151" s="387" t="s">
        <v>572</v>
      </c>
      <c r="B151" s="388"/>
      <c r="C151" s="278">
        <v>3.5000000000000003E-2</v>
      </c>
      <c r="D151" s="278">
        <v>3.5000000000000003E-2</v>
      </c>
      <c r="E151" s="278">
        <v>3.5000000000000003E-2</v>
      </c>
      <c r="F151" s="278">
        <v>3.5000000000000003E-2</v>
      </c>
      <c r="G151" s="278">
        <v>3.5000000000000003E-2</v>
      </c>
    </row>
    <row r="152" spans="1:7" ht="16.5" thickBot="1">
      <c r="A152" s="387" t="s">
        <v>573</v>
      </c>
      <c r="B152" s="388"/>
      <c r="C152" s="278">
        <v>3.1899999999999998E-2</v>
      </c>
      <c r="D152" s="278">
        <v>3.3399999999999999E-2</v>
      </c>
      <c r="E152" s="278">
        <v>3.3700000000000001E-2</v>
      </c>
      <c r="F152" s="278">
        <v>3.3700000000000001E-2</v>
      </c>
      <c r="G152" s="278">
        <v>3.3700000000000001E-2</v>
      </c>
    </row>
    <row r="153" spans="1:7" ht="16.5" thickBot="1">
      <c r="A153" s="387" t="s">
        <v>574</v>
      </c>
      <c r="B153" s="388"/>
      <c r="C153" s="278">
        <v>3.4599999999999999E-2</v>
      </c>
      <c r="D153" s="278">
        <v>3.44E-2</v>
      </c>
      <c r="E153" s="278">
        <v>3.44E-2</v>
      </c>
      <c r="F153" s="278">
        <v>3.44E-2</v>
      </c>
      <c r="G153" s="278">
        <v>3.44E-2</v>
      </c>
    </row>
    <row r="154" spans="1:7" ht="16.5" thickBot="1">
      <c r="A154" s="381" t="s">
        <v>719</v>
      </c>
      <c r="B154" s="382"/>
      <c r="C154" s="265">
        <v>1704</v>
      </c>
      <c r="D154" s="265">
        <v>1475</v>
      </c>
      <c r="E154" s="265">
        <v>1974</v>
      </c>
      <c r="F154" s="265">
        <v>2472</v>
      </c>
      <c r="G154" s="265">
        <v>2345</v>
      </c>
    </row>
    <row r="155" spans="1:7" ht="16.5" thickBot="1">
      <c r="A155" s="381" t="s">
        <v>720</v>
      </c>
      <c r="B155" s="382"/>
      <c r="C155" s="265">
        <v>958</v>
      </c>
      <c r="D155" s="265">
        <v>1132</v>
      </c>
      <c r="E155" s="265">
        <v>1096</v>
      </c>
      <c r="F155" s="265">
        <v>1023</v>
      </c>
      <c r="G155" s="265">
        <v>1186</v>
      </c>
    </row>
    <row r="156" spans="1:7" ht="16.5" thickBot="1">
      <c r="A156" s="381" t="s">
        <v>721</v>
      </c>
      <c r="B156" s="382"/>
      <c r="C156" s="265">
        <v>-3575</v>
      </c>
      <c r="D156" s="265">
        <v>-3858</v>
      </c>
      <c r="E156" s="265">
        <v>-3862</v>
      </c>
      <c r="F156" s="265">
        <v>-3781</v>
      </c>
      <c r="G156" s="265">
        <v>-4182</v>
      </c>
    </row>
    <row r="157" spans="1:7">
      <c r="A157" s="383" t="s">
        <v>722</v>
      </c>
      <c r="B157" s="384"/>
      <c r="C157" s="265">
        <v>-1205</v>
      </c>
      <c r="D157" s="265">
        <v>-201</v>
      </c>
      <c r="E157" s="265">
        <v>817</v>
      </c>
      <c r="F157" s="265">
        <v>971</v>
      </c>
      <c r="G157" s="265">
        <v>852</v>
      </c>
    </row>
    <row r="158" spans="1:7" ht="16.5" thickBot="1">
      <c r="A158" s="369" t="s">
        <v>723</v>
      </c>
      <c r="B158" s="369"/>
      <c r="C158" s="280"/>
      <c r="D158" s="280"/>
      <c r="E158" s="280"/>
      <c r="F158" s="280"/>
      <c r="G158" s="280"/>
    </row>
    <row r="159" spans="1:7" ht="16.5" thickBot="1">
      <c r="A159" s="370" t="s">
        <v>724</v>
      </c>
      <c r="B159" s="371"/>
      <c r="C159" s="281"/>
      <c r="D159" s="281"/>
      <c r="E159" s="281"/>
      <c r="F159" s="281"/>
      <c r="G159" s="281"/>
    </row>
    <row r="160" spans="1:7">
      <c r="A160" s="374" t="s">
        <v>725</v>
      </c>
      <c r="B160" s="375"/>
      <c r="C160" s="269" t="s">
        <v>726</v>
      </c>
      <c r="D160" s="269" t="s">
        <v>727</v>
      </c>
      <c r="E160" s="269" t="s">
        <v>728</v>
      </c>
      <c r="F160" s="269" t="s">
        <v>726</v>
      </c>
      <c r="G160" s="269" t="s">
        <v>726</v>
      </c>
    </row>
    <row r="161" spans="1:7" ht="16.5" thickBot="1">
      <c r="A161" s="376"/>
      <c r="B161" s="377"/>
      <c r="C161" s="283" t="s">
        <v>729</v>
      </c>
      <c r="D161" s="283" t="s">
        <v>729</v>
      </c>
      <c r="E161" s="283" t="s">
        <v>730</v>
      </c>
      <c r="F161" s="283" t="s">
        <v>731</v>
      </c>
      <c r="G161" s="283" t="s">
        <v>732</v>
      </c>
    </row>
    <row r="162" spans="1:7">
      <c r="A162" s="376"/>
      <c r="B162" s="377"/>
      <c r="C162" s="269" t="s">
        <v>733</v>
      </c>
      <c r="D162" s="372" t="s">
        <v>388</v>
      </c>
      <c r="E162" s="269" t="s">
        <v>733</v>
      </c>
      <c r="F162" s="269" t="s">
        <v>733</v>
      </c>
      <c r="G162" s="269" t="s">
        <v>733</v>
      </c>
    </row>
    <row r="163" spans="1:7" ht="16.5" thickBot="1">
      <c r="A163" s="376"/>
      <c r="B163" s="377"/>
      <c r="C163" s="283" t="s">
        <v>734</v>
      </c>
      <c r="D163" s="380"/>
      <c r="E163" s="283" t="s">
        <v>735</v>
      </c>
      <c r="F163" s="283" t="s">
        <v>736</v>
      </c>
      <c r="G163" s="283" t="s">
        <v>737</v>
      </c>
    </row>
    <row r="164" spans="1:7">
      <c r="A164" s="376"/>
      <c r="B164" s="377"/>
      <c r="C164" s="269" t="s">
        <v>738</v>
      </c>
      <c r="D164" s="372" t="s">
        <v>388</v>
      </c>
      <c r="E164" s="372" t="s">
        <v>388</v>
      </c>
      <c r="F164" s="269" t="s">
        <v>733</v>
      </c>
      <c r="G164" s="269" t="s">
        <v>733</v>
      </c>
    </row>
    <row r="165" spans="1:7" ht="16.5" thickBot="1">
      <c r="A165" s="376"/>
      <c r="B165" s="377"/>
      <c r="C165" s="283" t="s">
        <v>739</v>
      </c>
      <c r="D165" s="380"/>
      <c r="E165" s="380"/>
      <c r="F165" s="283" t="s">
        <v>740</v>
      </c>
      <c r="G165" s="283" t="s">
        <v>741</v>
      </c>
    </row>
    <row r="166" spans="1:7">
      <c r="A166" s="376"/>
      <c r="B166" s="377"/>
      <c r="C166" s="269" t="s">
        <v>738</v>
      </c>
      <c r="D166" s="372" t="s">
        <v>388</v>
      </c>
      <c r="E166" s="372" t="s">
        <v>388</v>
      </c>
      <c r="F166" s="269" t="s">
        <v>733</v>
      </c>
      <c r="G166" s="269" t="s">
        <v>733</v>
      </c>
    </row>
    <row r="167" spans="1:7" ht="16.5" thickBot="1">
      <c r="A167" s="376"/>
      <c r="B167" s="377"/>
      <c r="C167" s="283" t="s">
        <v>742</v>
      </c>
      <c r="D167" s="380"/>
      <c r="E167" s="380"/>
      <c r="F167" s="283" t="s">
        <v>743</v>
      </c>
      <c r="G167" s="283" t="s">
        <v>743</v>
      </c>
    </row>
    <row r="168" spans="1:7">
      <c r="A168" s="376"/>
      <c r="B168" s="377"/>
      <c r="C168" s="378" t="s">
        <v>388</v>
      </c>
      <c r="D168" s="372" t="s">
        <v>388</v>
      </c>
      <c r="E168" s="372" t="s">
        <v>388</v>
      </c>
      <c r="F168" s="372" t="s">
        <v>388</v>
      </c>
      <c r="G168" s="269" t="s">
        <v>744</v>
      </c>
    </row>
    <row r="169" spans="1:7" ht="16.5" thickBot="1">
      <c r="A169" s="385"/>
      <c r="B169" s="386"/>
      <c r="C169" s="379"/>
      <c r="D169" s="373"/>
      <c r="E169" s="373"/>
      <c r="F169" s="373"/>
      <c r="G169" s="283" t="s">
        <v>743</v>
      </c>
    </row>
    <row r="170" spans="1:7">
      <c r="A170" s="374" t="s">
        <v>745</v>
      </c>
      <c r="B170" s="375"/>
      <c r="C170" s="378" t="s">
        <v>388</v>
      </c>
      <c r="D170" s="372" t="s">
        <v>388</v>
      </c>
      <c r="E170" s="372" t="s">
        <v>388</v>
      </c>
      <c r="F170" s="372" t="s">
        <v>388</v>
      </c>
      <c r="G170" s="269" t="s">
        <v>746</v>
      </c>
    </row>
    <row r="171" spans="1:7">
      <c r="A171" s="376"/>
      <c r="B171" s="377"/>
      <c r="C171" s="379"/>
      <c r="D171" s="373"/>
      <c r="E171" s="373"/>
      <c r="F171" s="373"/>
      <c r="G171" s="283" t="s">
        <v>747</v>
      </c>
    </row>
    <row r="172" spans="1:7" ht="16.5" thickBot="1">
      <c r="A172" s="369" t="s">
        <v>748</v>
      </c>
      <c r="B172" s="369"/>
      <c r="C172" s="284"/>
    </row>
    <row r="173" spans="1:7" ht="16.5" thickBot="1">
      <c r="A173" s="370" t="s">
        <v>724</v>
      </c>
      <c r="B173" s="371"/>
      <c r="C173" s="281"/>
    </row>
    <row r="174" spans="1:7" ht="16.5" thickBot="1">
      <c r="A174" s="285">
        <v>2023</v>
      </c>
      <c r="B174" s="282" t="s">
        <v>725</v>
      </c>
      <c r="C174" s="269" t="s">
        <v>726</v>
      </c>
    </row>
    <row r="175" spans="1:7" ht="16.5" thickBot="1">
      <c r="A175" s="285"/>
      <c r="B175" s="282"/>
      <c r="C175" s="283" t="s">
        <v>749</v>
      </c>
    </row>
    <row r="176" spans="1:7" ht="16.5" thickBot="1">
      <c r="A176" s="285"/>
      <c r="B176" s="282"/>
      <c r="C176" s="269" t="s">
        <v>733</v>
      </c>
    </row>
    <row r="177" spans="1:3" ht="16.5" thickBot="1">
      <c r="A177" s="285"/>
      <c r="B177" s="282"/>
      <c r="C177" s="283" t="s">
        <v>750</v>
      </c>
    </row>
    <row r="178" spans="1:3" ht="16.5" thickBot="1">
      <c r="A178" s="285"/>
      <c r="B178" s="282"/>
      <c r="C178" s="269" t="s">
        <v>733</v>
      </c>
    </row>
    <row r="179" spans="1:3" ht="16.5" thickBot="1">
      <c r="A179" s="285"/>
      <c r="B179" s="282"/>
      <c r="C179" s="283" t="s">
        <v>751</v>
      </c>
    </row>
    <row r="180" spans="1:3" ht="16.5" thickBot="1">
      <c r="A180" s="285"/>
      <c r="B180" s="282"/>
      <c r="C180" s="269" t="s">
        <v>733</v>
      </c>
    </row>
    <row r="181" spans="1:3" ht="16.5" thickBot="1">
      <c r="A181" s="285"/>
      <c r="B181" s="282"/>
      <c r="C181" s="283" t="s">
        <v>752</v>
      </c>
    </row>
    <row r="182" spans="1:3" ht="16.5" thickBot="1">
      <c r="A182" s="285"/>
      <c r="B182" s="282"/>
      <c r="C182" s="269" t="s">
        <v>753</v>
      </c>
    </row>
    <row r="183" spans="1:3" ht="16.5" thickBot="1">
      <c r="A183" s="285"/>
      <c r="B183" s="282"/>
      <c r="C183" s="283" t="s">
        <v>752</v>
      </c>
    </row>
    <row r="184" spans="1:3" ht="16.5" thickBot="1">
      <c r="A184" s="285"/>
      <c r="B184" s="282" t="s">
        <v>745</v>
      </c>
      <c r="C184" s="269" t="s">
        <v>754</v>
      </c>
    </row>
    <row r="185" spans="1:3">
      <c r="A185" s="285"/>
      <c r="B185" s="282"/>
      <c r="C185" s="283" t="s">
        <v>747</v>
      </c>
    </row>
  </sheetData>
  <mergeCells count="172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9"/>
    <mergeCell ref="A149:B149"/>
    <mergeCell ref="A150:B150"/>
    <mergeCell ref="A151:B151"/>
    <mergeCell ref="A152:B152"/>
    <mergeCell ref="A153:B153"/>
    <mergeCell ref="A154:B154"/>
    <mergeCell ref="A172:B172"/>
    <mergeCell ref="A173:B173"/>
    <mergeCell ref="F168:F169"/>
    <mergeCell ref="A170:B171"/>
    <mergeCell ref="C170:C171"/>
    <mergeCell ref="D170:D171"/>
    <mergeCell ref="E170:E171"/>
    <mergeCell ref="F170:F171"/>
    <mergeCell ref="D162:D163"/>
    <mergeCell ref="D164:D165"/>
    <mergeCell ref="E164:E165"/>
    <mergeCell ref="D166:D167"/>
    <mergeCell ref="E166:E167"/>
    <mergeCell ref="C168:C169"/>
    <mergeCell ref="D168:D169"/>
    <mergeCell ref="E168:E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Refinitiv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Refinitiv</dc:creator>
  <cp:keywords/>
  <dc:description/>
  <cp:lastModifiedBy>Charles Adams</cp:lastModifiedBy>
  <cp:revision/>
  <dcterms:created xsi:type="dcterms:W3CDTF">2023-12-02T21:32:46Z</dcterms:created>
  <dcterms:modified xsi:type="dcterms:W3CDTF">2023-12-06T04:02:11Z</dcterms:modified>
  <cp:category/>
  <cp:contentStatus/>
</cp:coreProperties>
</file>