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mthabisimunyariri/Desktop/Projects/"/>
    </mc:Choice>
  </mc:AlternateContent>
  <xr:revisionPtr revIDLastSave="0" documentId="8_{289DC777-56AE-7B42-AF7B-469E2D6F79E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ummary" sheetId="8" r:id="rId1"/>
    <sheet name="Sales Data" sheetId="1" r:id="rId2"/>
    <sheet name="Information" sheetId="7" r:id="rId3"/>
  </sheets>
  <definedNames>
    <definedName name="abc">'Sales Data'!$M$6</definedName>
    <definedName name="base_price">Information!$C$3:$C$9</definedName>
    <definedName name="Communities">'Sales Data'!$C$6:$C$32</definedName>
    <definedName name="Cost_sales">'Sales Data'!$L$6:$L$32</definedName>
    <definedName name="discounts">Information!$D$3:$D$9</definedName>
    <definedName name="Gross_margin">'Sales Data'!$M$6</definedName>
    <definedName name="Gross_mgn">'Sales Data'!$M$6:$M$32</definedName>
    <definedName name="Gross_pct">'Sales Data'!$N$6:$N$32</definedName>
    <definedName name="House_Pla">'Sales Data'!$D$6:$D$32</definedName>
    <definedName name="Net_price">'Sales Data'!$K$6:$K$32</definedName>
    <definedName name="plan">Information!$B$3:$B$9</definedName>
    <definedName name="Square_footage">Information!$E$3:$E$9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2" i="8" l="1"/>
  <c r="D43" i="8"/>
  <c r="D44" i="8"/>
  <c r="D45" i="8"/>
  <c r="D46" i="8"/>
  <c r="D41" i="8"/>
  <c r="D37" i="8"/>
  <c r="D38" i="8"/>
  <c r="D36" i="8"/>
  <c r="D32" i="8"/>
  <c r="D33" i="8"/>
  <c r="D31" i="8"/>
  <c r="F27" i="8"/>
  <c r="F16" i="8"/>
  <c r="F8" i="8"/>
  <c r="F22" i="8"/>
  <c r="F23" i="8"/>
  <c r="F24" i="8"/>
  <c r="F25" i="8"/>
  <c r="F26" i="8"/>
  <c r="F21" i="8"/>
  <c r="F14" i="8"/>
  <c r="F15" i="8"/>
  <c r="F13" i="8"/>
  <c r="F6" i="8"/>
  <c r="F7" i="8"/>
  <c r="F5" i="8"/>
  <c r="E8" i="8"/>
  <c r="D8" i="8"/>
  <c r="E16" i="8"/>
  <c r="D16" i="8"/>
  <c r="E27" i="8"/>
  <c r="D27" i="8"/>
  <c r="E22" i="8"/>
  <c r="E23" i="8"/>
  <c r="E24" i="8"/>
  <c r="E25" i="8"/>
  <c r="E26" i="8"/>
  <c r="E21" i="8"/>
  <c r="D22" i="8"/>
  <c r="D23" i="8"/>
  <c r="D24" i="8"/>
  <c r="D25" i="8"/>
  <c r="D26" i="8"/>
  <c r="D21" i="8"/>
  <c r="E14" i="8"/>
  <c r="E15" i="8"/>
  <c r="E13" i="8"/>
  <c r="D14" i="8"/>
  <c r="D15" i="8"/>
  <c r="D13" i="8"/>
  <c r="E6" i="8"/>
  <c r="E7" i="8"/>
  <c r="E5" i="8"/>
  <c r="D7" i="8"/>
  <c r="D6" i="8"/>
  <c r="D5" i="8"/>
  <c r="M7" i="1"/>
  <c r="M8" i="1"/>
  <c r="M9" i="1"/>
  <c r="M10" i="1"/>
  <c r="N10" i="1" s="1"/>
  <c r="M11" i="1"/>
  <c r="M12" i="1"/>
  <c r="M13" i="1"/>
  <c r="M14" i="1"/>
  <c r="N14" i="1" s="1"/>
  <c r="M15" i="1"/>
  <c r="M16" i="1"/>
  <c r="M17" i="1"/>
  <c r="M18" i="1"/>
  <c r="N18" i="1" s="1"/>
  <c r="M19" i="1"/>
  <c r="M20" i="1"/>
  <c r="M21" i="1"/>
  <c r="M22" i="1"/>
  <c r="N22" i="1" s="1"/>
  <c r="M23" i="1"/>
  <c r="M24" i="1"/>
  <c r="M25" i="1"/>
  <c r="M26" i="1"/>
  <c r="N26" i="1" s="1"/>
  <c r="M27" i="1"/>
  <c r="M28" i="1"/>
  <c r="M29" i="1"/>
  <c r="M30" i="1"/>
  <c r="N30" i="1" s="1"/>
  <c r="M31" i="1"/>
  <c r="M32" i="1"/>
  <c r="M6" i="1"/>
  <c r="N6" i="1" s="1"/>
  <c r="N7" i="1"/>
  <c r="N8" i="1"/>
  <c r="N9" i="1"/>
  <c r="N11" i="1"/>
  <c r="N12" i="1"/>
  <c r="N13" i="1"/>
  <c r="N15" i="1"/>
  <c r="N16" i="1"/>
  <c r="N17" i="1"/>
  <c r="N19" i="1"/>
  <c r="N20" i="1"/>
  <c r="N21" i="1"/>
  <c r="N23" i="1"/>
  <c r="N24" i="1"/>
  <c r="N25" i="1"/>
  <c r="N27" i="1"/>
  <c r="N28" i="1"/>
  <c r="N29" i="1"/>
  <c r="N31" i="1"/>
  <c r="N32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6" i="1"/>
  <c r="G6" i="1"/>
  <c r="G8" i="1"/>
  <c r="G12" i="1"/>
  <c r="G16" i="1"/>
  <c r="G20" i="1"/>
  <c r="G24" i="1"/>
  <c r="G28" i="1"/>
  <c r="G32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6" i="1"/>
  <c r="E7" i="1"/>
  <c r="E8" i="1"/>
  <c r="E9" i="1"/>
  <c r="E10" i="1"/>
  <c r="G10" i="1" s="1"/>
  <c r="E11" i="1"/>
  <c r="E12" i="1"/>
  <c r="E13" i="1"/>
  <c r="E14" i="1"/>
  <c r="E15" i="1"/>
  <c r="E16" i="1"/>
  <c r="E17" i="1"/>
  <c r="E18" i="1"/>
  <c r="G18" i="1" s="1"/>
  <c r="E19" i="1"/>
  <c r="E20" i="1"/>
  <c r="E21" i="1"/>
  <c r="E22" i="1"/>
  <c r="E23" i="1"/>
  <c r="E24" i="1"/>
  <c r="E25" i="1"/>
  <c r="E26" i="1"/>
  <c r="G26" i="1" s="1"/>
  <c r="E27" i="1"/>
  <c r="E28" i="1"/>
  <c r="E29" i="1"/>
  <c r="E30" i="1"/>
  <c r="G30" i="1" s="1"/>
  <c r="E31" i="1"/>
  <c r="E32" i="1"/>
  <c r="E6" i="1"/>
  <c r="G22" i="1" l="1"/>
  <c r="G14" i="1"/>
  <c r="G29" i="1"/>
  <c r="G25" i="1"/>
  <c r="G21" i="1"/>
  <c r="G17" i="1"/>
  <c r="G13" i="1"/>
  <c r="G9" i="1"/>
  <c r="G31" i="1"/>
  <c r="G27" i="1"/>
  <c r="G23" i="1"/>
  <c r="G19" i="1"/>
  <c r="G15" i="1"/>
  <c r="G11" i="1"/>
  <c r="G7" i="1"/>
</calcChain>
</file>

<file path=xl/sharedStrings.xml><?xml version="1.0" encoding="utf-8"?>
<sst xmlns="http://schemas.openxmlformats.org/spreadsheetml/2006/main" count="179" uniqueCount="65">
  <si>
    <t>January</t>
  </si>
  <si>
    <t>Base Price</t>
  </si>
  <si>
    <t>Plan</t>
  </si>
  <si>
    <t>Pikes Peak</t>
  </si>
  <si>
    <t>Tetons</t>
  </si>
  <si>
    <t>Mount Herman</t>
  </si>
  <si>
    <t>Mount Huron</t>
  </si>
  <si>
    <t>Community</t>
  </si>
  <si>
    <t>Rexburg</t>
  </si>
  <si>
    <t>Idaho Falls</t>
  </si>
  <si>
    <t>Rigby</t>
  </si>
  <si>
    <t>House Plan</t>
  </si>
  <si>
    <t>February</t>
  </si>
  <si>
    <t>Mount Everest</t>
  </si>
  <si>
    <t>Cheyenne Mountain</t>
  </si>
  <si>
    <t>March</t>
  </si>
  <si>
    <t>House Address</t>
  </si>
  <si>
    <t>2450 Picadily Lane</t>
  </si>
  <si>
    <t>1985 Coyote Run</t>
  </si>
  <si>
    <t>2455 Snowtop Road</t>
  </si>
  <si>
    <t>2455 Picadily Lane</t>
  </si>
  <si>
    <t>2460 Picadily Lane</t>
  </si>
  <si>
    <t>1975 Coyote Run</t>
  </si>
  <si>
    <t>2222 Heavenly Road</t>
  </si>
  <si>
    <t>2445 Snowtop Road</t>
  </si>
  <si>
    <t>1965 Coyote Run</t>
  </si>
  <si>
    <t>2455 Wolfpack Terrace</t>
  </si>
  <si>
    <t>2005 Coyote Run</t>
  </si>
  <si>
    <t>2475 Wolfpack Terrace</t>
  </si>
  <si>
    <t>4545 Viking Place</t>
  </si>
  <si>
    <t>2495 Wolfpack Terrace</t>
  </si>
  <si>
    <t>2795 Picadily Lane</t>
  </si>
  <si>
    <t>7777 Heavenly Road</t>
  </si>
  <si>
    <t>7747 Heavenly Road</t>
  </si>
  <si>
    <t>3005 Wolfpack Terrace</t>
  </si>
  <si>
    <t>2595 Snowtop Road</t>
  </si>
  <si>
    <t>1945 Coyote Run</t>
  </si>
  <si>
    <t>7787 Heavenly Road</t>
  </si>
  <si>
    <t>2395 Snowtop Road</t>
  </si>
  <si>
    <t>2385 Snowtop Road</t>
  </si>
  <si>
    <t>2234 Heavenly Road</t>
  </si>
  <si>
    <t>1825 Coyote Run</t>
  </si>
  <si>
    <t>4575 Viking Place</t>
  </si>
  <si>
    <t>2405 Wolfpack Terrace</t>
  </si>
  <si>
    <t>Discounts</t>
  </si>
  <si>
    <t>Square Footage</t>
  </si>
  <si>
    <t>Base Price $</t>
  </si>
  <si>
    <t>Options Price $</t>
  </si>
  <si>
    <t>Discounts $</t>
  </si>
  <si>
    <t>Cost of Sales $</t>
  </si>
  <si>
    <t>Gross Margin $</t>
  </si>
  <si>
    <t>Gross Margin %</t>
  </si>
  <si>
    <t>Net Price $</t>
  </si>
  <si>
    <t>Month Sold</t>
  </si>
  <si>
    <t xml:space="preserve">Sales By Month </t>
  </si>
  <si>
    <t>Total Net Sales $</t>
  </si>
  <si>
    <t xml:space="preserve">Grand Total </t>
  </si>
  <si>
    <t>Sales By Community</t>
  </si>
  <si>
    <t>Sales By Plan</t>
  </si>
  <si>
    <t>Grand Total</t>
  </si>
  <si>
    <t>Discount %</t>
  </si>
  <si>
    <t>Total Price</t>
  </si>
  <si>
    <t>#of Months</t>
  </si>
  <si>
    <t>Month</t>
  </si>
  <si>
    <t xml:space="preserve">House Plan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</si>
</sst>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  <numFmt numFmtId="166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2" borderId="2" applyNumberFormat="0" applyAlignment="0" applyProtection="0"/>
    <xf numFmtId="0" fontId="7" fillId="0" borderId="3" applyNumberFormat="0" applyFill="0" applyAlignment="0" applyProtection="0"/>
  </cellStyleXfs>
  <cellXfs count="42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0" xfId="2" applyNumberFormat="1" applyFont="1"/>
    <xf numFmtId="165" fontId="0" fillId="0" borderId="0" xfId="1" applyNumberFormat="1" applyFont="1"/>
    <xf numFmtId="165" fontId="0" fillId="0" borderId="0" xfId="1" applyNumberFormat="1" applyFont="1" applyBorder="1"/>
    <xf numFmtId="0" fontId="4" fillId="0" borderId="0" xfId="0" applyFont="1"/>
    <xf numFmtId="0" fontId="5" fillId="0" borderId="0" xfId="0" applyFont="1"/>
    <xf numFmtId="0" fontId="2" fillId="0" borderId="0" xfId="0" applyFont="1"/>
    <xf numFmtId="0" fontId="3" fillId="0" borderId="0" xfId="0" applyFont="1"/>
    <xf numFmtId="0" fontId="0" fillId="3" borderId="4" xfId="0" applyFill="1" applyBorder="1"/>
    <xf numFmtId="0" fontId="7" fillId="0" borderId="5" xfId="4" applyFill="1" applyBorder="1"/>
    <xf numFmtId="0" fontId="0" fillId="4" borderId="4" xfId="0" applyFill="1" applyBorder="1"/>
    <xf numFmtId="0" fontId="7" fillId="0" borderId="0" xfId="4" applyFill="1" applyBorder="1"/>
    <xf numFmtId="0" fontId="0" fillId="4" borderId="6" xfId="0" applyFill="1" applyBorder="1"/>
    <xf numFmtId="0" fontId="7" fillId="0" borderId="5" xfId="4" applyBorder="1"/>
    <xf numFmtId="166" fontId="0" fillId="0" borderId="0" xfId="2" applyNumberFormat="1" applyFont="1"/>
    <xf numFmtId="165" fontId="0" fillId="4" borderId="4" xfId="1" applyNumberFormat="1" applyFont="1" applyFill="1" applyBorder="1"/>
    <xf numFmtId="165" fontId="7" fillId="0" borderId="5" xfId="1" applyNumberFormat="1" applyFont="1" applyFill="1" applyBorder="1"/>
    <xf numFmtId="165" fontId="0" fillId="4" borderId="6" xfId="1" applyNumberFormat="1" applyFont="1" applyFill="1" applyBorder="1"/>
    <xf numFmtId="165" fontId="7" fillId="0" borderId="3" xfId="1" applyNumberFormat="1" applyFont="1" applyBorder="1"/>
    <xf numFmtId="165" fontId="7" fillId="0" borderId="5" xfId="1" applyNumberFormat="1" applyFont="1" applyBorder="1"/>
    <xf numFmtId="164" fontId="7" fillId="0" borderId="5" xfId="2" applyNumberFormat="1" applyFont="1" applyFill="1" applyBorder="1"/>
    <xf numFmtId="164" fontId="7" fillId="0" borderId="3" xfId="2" applyNumberFormat="1" applyFont="1" applyBorder="1"/>
    <xf numFmtId="164" fontId="7" fillId="0" borderId="5" xfId="2" applyNumberFormat="1" applyFont="1" applyBorder="1"/>
    <xf numFmtId="0" fontId="0" fillId="4" borderId="0" xfId="0" applyFill="1"/>
    <xf numFmtId="0" fontId="6" fillId="2" borderId="7" xfId="3" applyBorder="1"/>
    <xf numFmtId="0" fontId="0" fillId="4" borderId="8" xfId="0" applyFill="1" applyBorder="1"/>
    <xf numFmtId="0" fontId="0" fillId="0" borderId="9" xfId="0" applyBorder="1"/>
    <xf numFmtId="0" fontId="0" fillId="0" borderId="10" xfId="0" applyBorder="1"/>
    <xf numFmtId="165" fontId="0" fillId="0" borderId="10" xfId="1" applyNumberFormat="1" applyFont="1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6" fillId="2" borderId="2" xfId="3"/>
    <xf numFmtId="0" fontId="0" fillId="0" borderId="14" xfId="0" applyBorder="1"/>
    <xf numFmtId="165" fontId="0" fillId="0" borderId="1" xfId="1" applyNumberFormat="1" applyFont="1" applyBorder="1"/>
    <xf numFmtId="0" fontId="0" fillId="0" borderId="15" xfId="0" applyBorder="1"/>
    <xf numFmtId="165" fontId="6" fillId="2" borderId="2" xfId="3" applyNumberFormat="1"/>
    <xf numFmtId="164" fontId="6" fillId="2" borderId="2" xfId="3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5">
    <cellStyle name="Calculation" xfId="3" builtinId="22"/>
    <cellStyle name="Currency" xfId="1" builtinId="4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Summary!$D$30</c:f>
              <c:strCache>
                <c:ptCount val="1"/>
                <c:pt idx="0">
                  <c:v>#of Months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B-A94C-ADE4-BE74EFB317F9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AB-A94C-ADE4-BE74EFB317F9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4AB-A94C-ADE4-BE74EFB317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Summary!$C$31:$C$33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Summary!$D$31:$D$33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B-A94C-ADE4-BE74EFB31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032703"/>
        <c:axId val="1319298751"/>
      </c:lineChart>
      <c:catAx>
        <c:axId val="178503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298751"/>
        <c:crosses val="autoZero"/>
        <c:auto val="1"/>
        <c:lblAlgn val="ctr"/>
        <c:lblOffset val="100"/>
        <c:noMultiLvlLbl val="0"/>
      </c:catAx>
      <c:valAx>
        <c:axId val="131929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# of Homes SOLD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03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Summary!$D$40</c:f>
              <c:strCache>
                <c:ptCount val="1"/>
                <c:pt idx="0">
                  <c:v>Sales By Plan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Summary!$C$41:$C$46</c:f>
              <c:strCache>
                <c:ptCount val="6"/>
                <c:pt idx="0">
                  <c:v>Cheyenne Mountain</c:v>
                </c:pt>
                <c:pt idx="1">
                  <c:v>Mount Everest</c:v>
                </c:pt>
                <c:pt idx="2">
                  <c:v>Mount Herman</c:v>
                </c:pt>
                <c:pt idx="3">
                  <c:v>Mount Huron</c:v>
                </c:pt>
                <c:pt idx="4">
                  <c:v>Pikes Peak</c:v>
                </c:pt>
                <c:pt idx="5">
                  <c:v>Tetons</c:v>
                </c:pt>
              </c:strCache>
            </c:strRef>
          </c:cat>
          <c:val>
            <c:numRef>
              <c:f>Summary!$D$41:$D$46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A-1D48-9042-D499E342B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60904319"/>
        <c:axId val="132512462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Summary!$E$40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Summary!$C$41:$C$46</c15:sqref>
                        </c15:formulaRef>
                      </c:ext>
                    </c:extLst>
                    <c:strCache>
                      <c:ptCount val="6"/>
                      <c:pt idx="0">
                        <c:v>Cheyenne Mountain</c:v>
                      </c:pt>
                      <c:pt idx="1">
                        <c:v>Mount Everest</c:v>
                      </c:pt>
                      <c:pt idx="2">
                        <c:v>Mount Herman</c:v>
                      </c:pt>
                      <c:pt idx="3">
                        <c:v>Mount Huron</c:v>
                      </c:pt>
                      <c:pt idx="4">
                        <c:v>Pikes Peak</c:v>
                      </c:pt>
                      <c:pt idx="5">
                        <c:v>Tetons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Summary!$E$41:$E$46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BBA-1D48-9042-D499E342BC3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Summary!$C$41:$C$46</c15:sqref>
                        </c15:formulaRef>
                      </c:ext>
                    </c:extLst>
                    <c:strCache>
                      <c:ptCount val="6"/>
                      <c:pt idx="0">
                        <c:v>Cheyenne Mountain</c:v>
                      </c:pt>
                      <c:pt idx="1">
                        <c:v>Mount Everest</c:v>
                      </c:pt>
                      <c:pt idx="2">
                        <c:v>Mount Herman</c:v>
                      </c:pt>
                      <c:pt idx="3">
                        <c:v>Mount Huron</c:v>
                      </c:pt>
                      <c:pt idx="4">
                        <c:v>Pikes Peak</c:v>
                      </c:pt>
                      <c:pt idx="5">
                        <c:v>Tetons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Summary!$F$41:$F$46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BBA-1D48-9042-D499E342BC36}"/>
                  </c:ext>
                </c:extLst>
              </c15:ser>
            </c15:filteredBarSeries>
          </c:ext>
        </c:extLst>
      </c:barChart>
      <c:catAx>
        <c:axId val="106090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House</a:t>
                </a:r>
                <a:r>
                  <a:rPr lang="en-US" baseline="0"/>
                  <a:t> Plantype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124623"/>
        <c:crosses val="autoZero"/>
        <c:auto val="1"/>
        <c:lblAlgn val="ctr"/>
        <c:lblOffset val="100"/>
        <c:noMultiLvlLbl val="0"/>
      </c:catAx>
      <c:valAx>
        <c:axId val="132512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HOMES SOLD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90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799877</xdr:colOff>
      <xdr:row>17</xdr:row>
      <xdr:rowOff>182477</xdr:rowOff>
    </xdr:from>
    <xdr:to>
      <xdr:col>12</xdr:col>
      <xdr:colOff>824385</xdr:colOff>
      <xdr:row>32</xdr:row>
      <xdr:rowOff>167105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90EA2A-9FCE-AD0A-5D4A-BA9564CB3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44562</xdr:colOff>
      <xdr:row>34</xdr:row>
      <xdr:rowOff>11140</xdr:rowOff>
    </xdr:from>
    <xdr:to>
      <xdr:col>12</xdr:col>
      <xdr:colOff>793193</xdr:colOff>
      <xdr:row>47</xdr:row>
      <xdr:rowOff>185151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DF6E5A-0032-8135-885B-5D70B011E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FF8A4-13F8-5B46-9BEA-5A64C661A491}">
  <dimension ref="A2:N49"/>
  <sheetViews>
    <sheetView showGridLines="0" tabSelected="1" zoomScale="114" workbookViewId="0"/>
  </sheetViews>
  <sheetFormatPr baseColWidth="10" defaultRowHeight="15" x14ac:dyDescent="0.2"/>
  <cols>
    <col min="1" max="1" width="13.6640625" bestFit="1" customWidth="1"/>
    <col min="3" max="3" width="16.83203125" bestFit="1" customWidth="1"/>
    <col min="4" max="5" width="15.33203125" style="4" customWidth="1"/>
    <col min="6" max="6" width="15.33203125" customWidth="1"/>
  </cols>
  <sheetData>
    <row r="2" spans="1:14" x14ac:dyDescent="0.2">
      <c r="B2" s="28"/>
      <c r="C2" s="29"/>
      <c r="D2" s="30"/>
      <c r="E2" s="30"/>
      <c r="F2" s="29"/>
      <c r="G2" s="29"/>
      <c r="H2" s="29"/>
      <c r="I2" s="29"/>
      <c r="J2" s="29"/>
      <c r="K2" s="29"/>
      <c r="L2" s="29"/>
      <c r="M2" s="29"/>
      <c r="N2" s="31"/>
    </row>
    <row r="3" spans="1:14" x14ac:dyDescent="0.2">
      <c r="C3" s="40"/>
      <c r="D3" s="40" t="s">
        <v>54</v>
      </c>
      <c r="E3" s="40"/>
      <c r="N3" s="32"/>
    </row>
    <row r="4" spans="1:14" x14ac:dyDescent="0.2">
      <c r="B4" s="33"/>
      <c r="C4" s="25" t="s">
        <v>63</v>
      </c>
      <c r="D4" s="17" t="s">
        <v>55</v>
      </c>
      <c r="E4" s="17" t="s">
        <v>50</v>
      </c>
      <c r="F4" s="12" t="s">
        <v>51</v>
      </c>
      <c r="N4" s="32"/>
    </row>
    <row r="5" spans="1:14" ht="16" x14ac:dyDescent="0.2">
      <c r="B5" s="33"/>
      <c r="C5" s="10" t="s">
        <v>0</v>
      </c>
      <c r="D5" s="38">
        <f>SUMIFS('Sales Data'!$K$6:$K$32,'Sales Data'!$A$6:$A$32,Summary!C5)</f>
        <v>1777221.5</v>
      </c>
      <c r="E5" s="38">
        <f>SUMIFS('Sales Data'!$M$6:$M$32,'Sales Data'!$A$6:$A$32,Summary!C5)</f>
        <v>145931.5</v>
      </c>
      <c r="F5" s="39">
        <f>E5/D5</f>
        <v>8.2112162158740482E-2</v>
      </c>
      <c r="N5" s="32"/>
    </row>
    <row r="6" spans="1:14" ht="16" x14ac:dyDescent="0.2">
      <c r="B6" s="33"/>
      <c r="C6" s="10" t="s">
        <v>12</v>
      </c>
      <c r="D6" s="38">
        <f>SUMIFS('Sales Data'!$K$6:$K$32,'Sales Data'!$A$6:$A$32,Summary!C6)</f>
        <v>2497019.5</v>
      </c>
      <c r="E6" s="38">
        <f>SUMIFS('Sales Data'!$M$6:$M$32,'Sales Data'!$A$6:$A$32,Summary!C6)</f>
        <v>198194.5</v>
      </c>
      <c r="F6" s="39">
        <f t="shared" ref="F6:F7" si="0">E6/D6</f>
        <v>7.9372427808433219E-2</v>
      </c>
      <c r="N6" s="32"/>
    </row>
    <row r="7" spans="1:14" ht="16" x14ac:dyDescent="0.2">
      <c r="B7" s="33"/>
      <c r="C7" s="10" t="s">
        <v>15</v>
      </c>
      <c r="D7" s="38">
        <f>SUMIFS('Sales Data'!$K$6:$K$32,'Sales Data'!$A$6:$A$32,Summary!C7)</f>
        <v>3838851.5999999996</v>
      </c>
      <c r="E7" s="38">
        <f>SUMIFS('Sales Data'!$M$6:$M$32,'Sales Data'!$A$6:$A$32,Summary!C7)</f>
        <v>302751.59999999998</v>
      </c>
      <c r="F7" s="39">
        <f t="shared" si="0"/>
        <v>7.8865148108356153E-2</v>
      </c>
      <c r="N7" s="32"/>
    </row>
    <row r="8" spans="1:14" ht="17" thickBot="1" x14ac:dyDescent="0.25">
      <c r="A8" s="13"/>
      <c r="B8" s="33"/>
      <c r="C8" s="11" t="s">
        <v>56</v>
      </c>
      <c r="D8" s="18">
        <f>SUM(D5:D7)</f>
        <v>8113092.5999999996</v>
      </c>
      <c r="E8" s="18">
        <f t="shared" ref="E8" si="1">SUM(E5:E7)</f>
        <v>646877.6</v>
      </c>
      <c r="F8" s="22">
        <f>E8/D8</f>
        <v>7.9732554759697927E-2</v>
      </c>
      <c r="N8" s="32"/>
    </row>
    <row r="9" spans="1:14" ht="16" thickTop="1" x14ac:dyDescent="0.2">
      <c r="B9" s="33"/>
      <c r="D9" s="5"/>
      <c r="E9" s="5"/>
      <c r="N9" s="32"/>
    </row>
    <row r="10" spans="1:14" x14ac:dyDescent="0.2">
      <c r="B10" s="33"/>
      <c r="D10" s="5"/>
      <c r="E10" s="5"/>
      <c r="N10" s="32"/>
    </row>
    <row r="11" spans="1:14" x14ac:dyDescent="0.2">
      <c r="B11" s="33"/>
      <c r="C11" s="41" t="s">
        <v>57</v>
      </c>
      <c r="D11" s="41"/>
      <c r="E11" s="41"/>
      <c r="F11" s="41"/>
      <c r="N11" s="32"/>
    </row>
    <row r="12" spans="1:14" x14ac:dyDescent="0.2">
      <c r="B12" s="33"/>
      <c r="C12" s="25" t="s">
        <v>7</v>
      </c>
      <c r="D12" s="19" t="s">
        <v>55</v>
      </c>
      <c r="E12" s="19" t="s">
        <v>50</v>
      </c>
      <c r="F12" s="14" t="s">
        <v>51</v>
      </c>
      <c r="N12" s="32"/>
    </row>
    <row r="13" spans="1:14" ht="16" x14ac:dyDescent="0.2">
      <c r="B13" s="33"/>
      <c r="C13" s="10" t="s">
        <v>8</v>
      </c>
      <c r="D13" s="38">
        <f>SUMIFS(Net_price,Communities,Summary!C13)</f>
        <v>3235941.05</v>
      </c>
      <c r="E13" s="38">
        <f>SUMIFS(Gross_mgn,Communities,C13)</f>
        <v>220851.05</v>
      </c>
      <c r="F13" s="39">
        <f>E13/D13</f>
        <v>6.8249404605192049E-2</v>
      </c>
      <c r="N13" s="32"/>
    </row>
    <row r="14" spans="1:14" ht="16" x14ac:dyDescent="0.2">
      <c r="B14" s="33"/>
      <c r="C14" s="10" t="s">
        <v>10</v>
      </c>
      <c r="D14" s="38">
        <f>SUMIFS(Net_price,Communities,Summary!C14)</f>
        <v>1483792.5</v>
      </c>
      <c r="E14" s="38">
        <f>SUMIFS(Gross_mgn,Communities,C14)</f>
        <v>148442.5</v>
      </c>
      <c r="F14" s="39">
        <f t="shared" ref="F14:F15" si="2">E14/D14</f>
        <v>0.10004262725414774</v>
      </c>
      <c r="N14" s="32"/>
    </row>
    <row r="15" spans="1:14" ht="16" x14ac:dyDescent="0.2">
      <c r="B15" s="33"/>
      <c r="C15" s="10" t="s">
        <v>9</v>
      </c>
      <c r="D15" s="38">
        <f>SUMIFS(Net_price,Communities,Summary!C15)</f>
        <v>3393359.05</v>
      </c>
      <c r="E15" s="38">
        <f>SUMIFS(Gross_mgn,Communities,C15)</f>
        <v>277584.05</v>
      </c>
      <c r="F15" s="39">
        <f t="shared" si="2"/>
        <v>8.1802145281384242E-2</v>
      </c>
      <c r="N15" s="32"/>
    </row>
    <row r="16" spans="1:14" ht="17" thickBot="1" x14ac:dyDescent="0.25">
      <c r="B16" s="33"/>
      <c r="C16" s="15" t="s">
        <v>56</v>
      </c>
      <c r="D16" s="20">
        <f>SUM(D13:D15)</f>
        <v>8113092.5999999996</v>
      </c>
      <c r="E16" s="20">
        <f t="shared" ref="E16" si="3">SUM(E13:E15)</f>
        <v>646877.6</v>
      </c>
      <c r="F16" s="23">
        <f>E16/D16</f>
        <v>7.9732554759697927E-2</v>
      </c>
      <c r="N16" s="32"/>
    </row>
    <row r="17" spans="2:14" ht="16" thickTop="1" x14ac:dyDescent="0.2">
      <c r="B17" s="33"/>
      <c r="D17" s="5"/>
      <c r="E17" s="5"/>
      <c r="N17" s="32"/>
    </row>
    <row r="18" spans="2:14" x14ac:dyDescent="0.2">
      <c r="B18" s="33"/>
      <c r="D18" s="5"/>
      <c r="E18" s="5"/>
      <c r="N18" s="32"/>
    </row>
    <row r="19" spans="2:14" x14ac:dyDescent="0.2">
      <c r="B19" s="33"/>
      <c r="C19" s="41" t="s">
        <v>58</v>
      </c>
      <c r="D19" s="41"/>
      <c r="E19" s="41"/>
      <c r="F19" s="41"/>
      <c r="N19" s="32"/>
    </row>
    <row r="20" spans="2:14" x14ac:dyDescent="0.2">
      <c r="B20" s="33"/>
      <c r="C20" s="25" t="s">
        <v>2</v>
      </c>
      <c r="D20" s="19" t="s">
        <v>55</v>
      </c>
      <c r="E20" s="19" t="s">
        <v>50</v>
      </c>
      <c r="F20" s="14" t="s">
        <v>51</v>
      </c>
      <c r="N20" s="32"/>
    </row>
    <row r="21" spans="2:14" ht="16" x14ac:dyDescent="0.2">
      <c r="B21" s="33"/>
      <c r="C21" s="10" t="s">
        <v>14</v>
      </c>
      <c r="D21" s="38">
        <f t="shared" ref="D21:D26" si="4">SUMIFS(Net_price,House_Pla,C21)</f>
        <v>1262625</v>
      </c>
      <c r="E21" s="38">
        <f t="shared" ref="E21:E26" si="5">SUMIFS(Gross_mgn,House_Pla,C21)</f>
        <v>85925</v>
      </c>
      <c r="F21" s="39">
        <f>E21/D21</f>
        <v>6.8052668052668047E-2</v>
      </c>
      <c r="N21" s="32"/>
    </row>
    <row r="22" spans="2:14" ht="16" x14ac:dyDescent="0.2">
      <c r="B22" s="33"/>
      <c r="C22" s="10" t="s">
        <v>13</v>
      </c>
      <c r="D22" s="38">
        <f t="shared" si="4"/>
        <v>769725</v>
      </c>
      <c r="E22" s="38">
        <f t="shared" si="5"/>
        <v>85775</v>
      </c>
      <c r="F22" s="39">
        <f t="shared" ref="F22:F26" si="6">E22/D22</f>
        <v>0.111435902432687</v>
      </c>
      <c r="N22" s="32"/>
    </row>
    <row r="23" spans="2:14" ht="16" x14ac:dyDescent="0.2">
      <c r="B23" s="33"/>
      <c r="C23" s="10" t="s">
        <v>5</v>
      </c>
      <c r="D23" s="38">
        <f t="shared" si="4"/>
        <v>827400</v>
      </c>
      <c r="E23" s="38">
        <f t="shared" si="5"/>
        <v>56960</v>
      </c>
      <c r="F23" s="39">
        <f t="shared" si="6"/>
        <v>6.8842156151800823E-2</v>
      </c>
      <c r="N23" s="32"/>
    </row>
    <row r="24" spans="2:14" ht="16" x14ac:dyDescent="0.2">
      <c r="B24" s="33"/>
      <c r="C24" s="10" t="s">
        <v>6</v>
      </c>
      <c r="D24" s="38">
        <f t="shared" si="4"/>
        <v>1752344.55</v>
      </c>
      <c r="E24" s="38">
        <f t="shared" si="5"/>
        <v>125594.54999999999</v>
      </c>
      <c r="F24" s="39">
        <f t="shared" si="6"/>
        <v>7.1672291844660341E-2</v>
      </c>
      <c r="N24" s="32"/>
    </row>
    <row r="25" spans="2:14" ht="16" x14ac:dyDescent="0.2">
      <c r="B25" s="33"/>
      <c r="C25" s="10" t="s">
        <v>3</v>
      </c>
      <c r="D25" s="38">
        <f t="shared" si="4"/>
        <v>2515273.0499999998</v>
      </c>
      <c r="E25" s="38">
        <f t="shared" si="5"/>
        <v>210373.05</v>
      </c>
      <c r="F25" s="39">
        <f t="shared" si="6"/>
        <v>8.3638255496754119E-2</v>
      </c>
      <c r="N25" s="32"/>
    </row>
    <row r="26" spans="2:14" ht="16" x14ac:dyDescent="0.2">
      <c r="B26" s="33"/>
      <c r="C26" s="10" t="s">
        <v>4</v>
      </c>
      <c r="D26" s="38">
        <f t="shared" si="4"/>
        <v>985725</v>
      </c>
      <c r="E26" s="38">
        <f t="shared" si="5"/>
        <v>82250</v>
      </c>
      <c r="F26" s="39">
        <f t="shared" si="6"/>
        <v>8.3441122016789673E-2</v>
      </c>
      <c r="N26" s="32"/>
    </row>
    <row r="27" spans="2:14" ht="17" thickBot="1" x14ac:dyDescent="0.25">
      <c r="B27" s="33"/>
      <c r="C27" s="11" t="s">
        <v>59</v>
      </c>
      <c r="D27" s="21">
        <f>SUM(D21:D26)</f>
        <v>8113092.5999999996</v>
      </c>
      <c r="E27" s="21">
        <f t="shared" ref="E27" si="7">SUM(E21:E26)</f>
        <v>646877.6</v>
      </c>
      <c r="F27" s="24">
        <f>E27/D27</f>
        <v>7.9732554759697927E-2</v>
      </c>
      <c r="N27" s="32"/>
    </row>
    <row r="28" spans="2:14" ht="16" thickTop="1" x14ac:dyDescent="0.2">
      <c r="B28" s="33"/>
      <c r="D28" s="5"/>
      <c r="E28" s="5"/>
      <c r="N28" s="32"/>
    </row>
    <row r="29" spans="2:14" x14ac:dyDescent="0.2">
      <c r="B29" s="33"/>
      <c r="D29" s="5"/>
      <c r="E29" s="5"/>
      <c r="N29" s="32"/>
    </row>
    <row r="30" spans="2:14" x14ac:dyDescent="0.2">
      <c r="B30" s="33"/>
      <c r="C30" s="25" t="s">
        <v>63</v>
      </c>
      <c r="D30" s="27" t="s">
        <v>62</v>
      </c>
      <c r="E30"/>
      <c r="N30" s="32"/>
    </row>
    <row r="31" spans="2:14" ht="16" x14ac:dyDescent="0.2">
      <c r="B31" s="33"/>
      <c r="C31" s="10" t="s">
        <v>0</v>
      </c>
      <c r="D31" s="26">
        <f>COUNTIFS('Sales Data'!$A$6:$A$32,Summary!C5)</f>
        <v>6</v>
      </c>
      <c r="E31"/>
      <c r="N31" s="32"/>
    </row>
    <row r="32" spans="2:14" ht="16" x14ac:dyDescent="0.2">
      <c r="B32" s="33"/>
      <c r="C32" s="10" t="s">
        <v>12</v>
      </c>
      <c r="D32" s="34">
        <f>COUNTIFS('Sales Data'!$A$6:$A$32,Summary!C6)</f>
        <v>8</v>
      </c>
      <c r="E32"/>
      <c r="N32" s="32"/>
    </row>
    <row r="33" spans="2:14" ht="16" x14ac:dyDescent="0.2">
      <c r="B33" s="33"/>
      <c r="C33" s="10" t="s">
        <v>15</v>
      </c>
      <c r="D33" s="34">
        <f>COUNTIFS('Sales Data'!$A$6:$A$32,Summary!C7)</f>
        <v>13</v>
      </c>
      <c r="E33"/>
      <c r="N33" s="32"/>
    </row>
    <row r="34" spans="2:14" x14ac:dyDescent="0.2">
      <c r="B34" s="33"/>
      <c r="D34" s="5"/>
      <c r="E34" s="5"/>
      <c r="N34" s="32"/>
    </row>
    <row r="35" spans="2:14" x14ac:dyDescent="0.2">
      <c r="B35" s="33"/>
      <c r="C35" s="25" t="s">
        <v>7</v>
      </c>
      <c r="D35" s="27" t="s">
        <v>57</v>
      </c>
      <c r="E35"/>
      <c r="N35" s="32"/>
    </row>
    <row r="36" spans="2:14" ht="16" x14ac:dyDescent="0.2">
      <c r="B36" s="33"/>
      <c r="C36" s="10" t="s">
        <v>8</v>
      </c>
      <c r="D36" s="26">
        <f>COUNTIFS(Communities,C13)</f>
        <v>11</v>
      </c>
      <c r="E36"/>
      <c r="N36" s="32"/>
    </row>
    <row r="37" spans="2:14" ht="16" x14ac:dyDescent="0.2">
      <c r="B37" s="33"/>
      <c r="C37" s="10" t="s">
        <v>10</v>
      </c>
      <c r="D37" s="34">
        <f>COUNTIFS(Communities,C14)</f>
        <v>5</v>
      </c>
      <c r="E37"/>
      <c r="N37" s="32"/>
    </row>
    <row r="38" spans="2:14" ht="16" x14ac:dyDescent="0.2">
      <c r="B38" s="33"/>
      <c r="C38" s="10" t="s">
        <v>9</v>
      </c>
      <c r="D38" s="34">
        <f>COUNTIFS(Communities,C15)</f>
        <v>11</v>
      </c>
      <c r="E38"/>
      <c r="N38" s="32"/>
    </row>
    <row r="39" spans="2:14" x14ac:dyDescent="0.2">
      <c r="B39" s="33"/>
      <c r="D39" s="5"/>
      <c r="E39" s="5"/>
      <c r="N39" s="32"/>
    </row>
    <row r="40" spans="2:14" x14ac:dyDescent="0.2">
      <c r="B40" s="33"/>
      <c r="C40" s="25" t="s">
        <v>64</v>
      </c>
      <c r="D40" s="27" t="s">
        <v>58</v>
      </c>
      <c r="E40"/>
      <c r="N40" s="32"/>
    </row>
    <row r="41" spans="2:14" ht="16" x14ac:dyDescent="0.2">
      <c r="B41" s="33"/>
      <c r="C41" s="10" t="s">
        <v>14</v>
      </c>
      <c r="D41" s="26">
        <f t="shared" ref="D41:D46" si="8">COUNTIFS(House_Pla,C21)</f>
        <v>4</v>
      </c>
      <c r="E41"/>
      <c r="N41" s="32"/>
    </row>
    <row r="42" spans="2:14" ht="16" x14ac:dyDescent="0.2">
      <c r="B42" s="33"/>
      <c r="C42" s="10" t="s">
        <v>13</v>
      </c>
      <c r="D42" s="34">
        <f t="shared" si="8"/>
        <v>3</v>
      </c>
      <c r="E42"/>
      <c r="N42" s="32"/>
    </row>
    <row r="43" spans="2:14" ht="16" x14ac:dyDescent="0.2">
      <c r="B43" s="33"/>
      <c r="C43" s="10" t="s">
        <v>5</v>
      </c>
      <c r="D43" s="34">
        <f t="shared" si="8"/>
        <v>3</v>
      </c>
      <c r="E43"/>
      <c r="N43" s="32"/>
    </row>
    <row r="44" spans="2:14" ht="16" x14ac:dyDescent="0.2">
      <c r="B44" s="33"/>
      <c r="C44" s="10" t="s">
        <v>6</v>
      </c>
      <c r="D44" s="34">
        <f t="shared" si="8"/>
        <v>7</v>
      </c>
      <c r="E44"/>
      <c r="N44" s="32"/>
    </row>
    <row r="45" spans="2:14" ht="16" x14ac:dyDescent="0.2">
      <c r="B45" s="33"/>
      <c r="C45" s="10" t="s">
        <v>3</v>
      </c>
      <c r="D45" s="34">
        <f t="shared" si="8"/>
        <v>7</v>
      </c>
      <c r="E45"/>
      <c r="N45" s="32"/>
    </row>
    <row r="46" spans="2:14" ht="16" x14ac:dyDescent="0.2">
      <c r="B46" s="33"/>
      <c r="C46" s="10" t="s">
        <v>4</v>
      </c>
      <c r="D46" s="34">
        <f t="shared" si="8"/>
        <v>3</v>
      </c>
      <c r="E46"/>
      <c r="N46" s="32"/>
    </row>
    <row r="47" spans="2:14" x14ac:dyDescent="0.2">
      <c r="B47" s="33"/>
      <c r="D47" s="5"/>
      <c r="E47" s="5"/>
      <c r="N47" s="32"/>
    </row>
    <row r="48" spans="2:14" x14ac:dyDescent="0.2">
      <c r="B48" s="33"/>
      <c r="D48" s="5"/>
      <c r="E48" s="5"/>
      <c r="N48" s="32"/>
    </row>
    <row r="49" spans="2:14" x14ac:dyDescent="0.2">
      <c r="B49" s="35"/>
      <c r="C49" s="2"/>
      <c r="D49" s="36"/>
      <c r="E49" s="36"/>
      <c r="F49" s="2"/>
      <c r="G49" s="2"/>
      <c r="H49" s="2"/>
      <c r="I49" s="2"/>
      <c r="J49" s="2"/>
      <c r="K49" s="2"/>
      <c r="L49" s="2"/>
      <c r="M49" s="2"/>
      <c r="N49" s="37"/>
    </row>
  </sheetData>
  <mergeCells count="2">
    <mergeCell ref="C11:F11"/>
    <mergeCell ref="C19:F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2"/>
  <sheetViews>
    <sheetView topLeftCell="A6" workbookViewId="0">
      <selection activeCell="B2" sqref="B2"/>
    </sheetView>
  </sheetViews>
  <sheetFormatPr baseColWidth="10" defaultColWidth="8.83203125" defaultRowHeight="15" x14ac:dyDescent="0.2"/>
  <cols>
    <col min="1" max="1" width="12" customWidth="1"/>
    <col min="2" max="4" width="20.1640625" customWidth="1"/>
    <col min="5" max="9" width="14.5" customWidth="1"/>
    <col min="10" max="11" width="23.83203125" customWidth="1"/>
    <col min="12" max="12" width="13.5" customWidth="1"/>
    <col min="13" max="13" width="16.5" customWidth="1"/>
    <col min="14" max="14" width="16.33203125" customWidth="1"/>
  </cols>
  <sheetData>
    <row r="1" spans="1:14" x14ac:dyDescent="0.2">
      <c r="A1" s="7"/>
      <c r="B1" s="7"/>
      <c r="C1" s="7"/>
      <c r="D1" s="7"/>
      <c r="E1" s="6"/>
      <c r="F1" s="6"/>
      <c r="G1" s="6"/>
      <c r="H1" s="6"/>
      <c r="I1" s="6"/>
      <c r="J1" s="6"/>
    </row>
    <row r="2" spans="1:14" x14ac:dyDescent="0.2">
      <c r="A2" s="7"/>
      <c r="B2" s="7"/>
      <c r="C2" s="7"/>
      <c r="D2" s="7"/>
      <c r="E2" s="7"/>
      <c r="F2" s="7"/>
      <c r="G2" s="7"/>
      <c r="H2" s="7"/>
      <c r="I2" s="7"/>
      <c r="J2" s="7"/>
    </row>
    <row r="5" spans="1:14" x14ac:dyDescent="0.2">
      <c r="A5" s="2" t="s">
        <v>53</v>
      </c>
      <c r="B5" s="2" t="s">
        <v>16</v>
      </c>
      <c r="C5" s="2" t="s">
        <v>7</v>
      </c>
      <c r="D5" s="2" t="s">
        <v>11</v>
      </c>
      <c r="E5" s="2" t="s">
        <v>46</v>
      </c>
      <c r="F5" s="2"/>
      <c r="G5" s="2" t="s">
        <v>61</v>
      </c>
      <c r="H5" s="2" t="s">
        <v>47</v>
      </c>
      <c r="I5" s="2" t="s">
        <v>60</v>
      </c>
      <c r="J5" s="2" t="s">
        <v>48</v>
      </c>
      <c r="K5" s="2" t="s">
        <v>52</v>
      </c>
      <c r="L5" s="2" t="s">
        <v>49</v>
      </c>
      <c r="M5" s="2" t="s">
        <v>50</v>
      </c>
      <c r="N5" s="2" t="s">
        <v>51</v>
      </c>
    </row>
    <row r="6" spans="1:14" x14ac:dyDescent="0.2">
      <c r="A6" t="s">
        <v>0</v>
      </c>
      <c r="B6" t="s">
        <v>17</v>
      </c>
      <c r="C6" t="s">
        <v>8</v>
      </c>
      <c r="D6" t="s">
        <v>13</v>
      </c>
      <c r="E6" s="4">
        <f>VLOOKUP('Sales Data'!D6,Information!$B$3:$E$9,2,FALSE)</f>
        <v>250000</v>
      </c>
      <c r="F6" s="4"/>
      <c r="G6" s="4">
        <f>E6+H6</f>
        <v>255500</v>
      </c>
      <c r="H6" s="4">
        <v>5500</v>
      </c>
      <c r="I6" s="3">
        <f>VLOOKUP(D6,Information!$B$3:$E$9,3,FALSE)</f>
        <v>0.01</v>
      </c>
      <c r="J6" s="16">
        <f>(E6+H6)*I6</f>
        <v>2555</v>
      </c>
      <c r="K6" s="4">
        <f>E6+H6-J6</f>
        <v>252945</v>
      </c>
      <c r="L6" s="4">
        <v>230500</v>
      </c>
      <c r="M6" s="4">
        <f>K6-L6</f>
        <v>22445</v>
      </c>
      <c r="N6" s="3">
        <f>M6/L6</f>
        <v>9.7375271149674619E-2</v>
      </c>
    </row>
    <row r="7" spans="1:14" x14ac:dyDescent="0.2">
      <c r="A7" t="s">
        <v>0</v>
      </c>
      <c r="B7" t="s">
        <v>18</v>
      </c>
      <c r="C7" t="s">
        <v>9</v>
      </c>
      <c r="D7" t="s">
        <v>3</v>
      </c>
      <c r="E7" s="4">
        <f>VLOOKUP('Sales Data'!D7,Information!$B$3:$E$9,2,FALSE)</f>
        <v>350000</v>
      </c>
      <c r="F7" s="4"/>
      <c r="G7" s="4">
        <f t="shared" ref="G7:G32" si="0">E7+H7</f>
        <v>367550</v>
      </c>
      <c r="H7" s="4">
        <v>17550</v>
      </c>
      <c r="I7" s="3">
        <f>VLOOKUP(D7,Information!$B$3:$E$9,3,FALSE)</f>
        <v>0.03</v>
      </c>
      <c r="J7" s="16">
        <f t="shared" ref="J7:J32" si="1">(E7+H7)*I7</f>
        <v>11026.5</v>
      </c>
      <c r="K7" s="4">
        <f t="shared" ref="K7:K32" si="2">E7+H7-J7</f>
        <v>356523.5</v>
      </c>
      <c r="L7" s="4">
        <v>319500</v>
      </c>
      <c r="M7" s="4">
        <f t="shared" ref="M7:M32" si="3">K7-L7</f>
        <v>37023.5</v>
      </c>
      <c r="N7" s="3">
        <f t="shared" ref="N7:N32" si="4">M7/L7</f>
        <v>0.11587949921752738</v>
      </c>
    </row>
    <row r="8" spans="1:14" x14ac:dyDescent="0.2">
      <c r="A8" t="s">
        <v>0</v>
      </c>
      <c r="B8" t="s">
        <v>19</v>
      </c>
      <c r="C8" t="s">
        <v>10</v>
      </c>
      <c r="D8" t="s">
        <v>4</v>
      </c>
      <c r="E8" s="4">
        <f>VLOOKUP('Sales Data'!D8,Information!$B$3:$E$9,2,FALSE)</f>
        <v>325000</v>
      </c>
      <c r="F8" s="4"/>
      <c r="G8" s="4">
        <f t="shared" si="0"/>
        <v>345000</v>
      </c>
      <c r="H8" s="4">
        <v>20000</v>
      </c>
      <c r="I8" s="3">
        <f>VLOOKUP(D8,Information!$B$3:$E$9,3,FALSE)</f>
        <v>2.5000000000000001E-2</v>
      </c>
      <c r="J8" s="16">
        <f t="shared" si="1"/>
        <v>8625</v>
      </c>
      <c r="K8" s="4">
        <f t="shared" si="2"/>
        <v>336375</v>
      </c>
      <c r="L8" s="4">
        <v>299000</v>
      </c>
      <c r="M8" s="4">
        <f t="shared" si="3"/>
        <v>37375</v>
      </c>
      <c r="N8" s="3">
        <f t="shared" si="4"/>
        <v>0.125</v>
      </c>
    </row>
    <row r="9" spans="1:14" x14ac:dyDescent="0.2">
      <c r="A9" t="s">
        <v>0</v>
      </c>
      <c r="B9" t="s">
        <v>20</v>
      </c>
      <c r="C9" t="s">
        <v>8</v>
      </c>
      <c r="D9" t="s">
        <v>14</v>
      </c>
      <c r="E9" s="4">
        <f>VLOOKUP('Sales Data'!D9,Information!$B$3:$E$9,2,FALSE)</f>
        <v>310000</v>
      </c>
      <c r="F9" s="4"/>
      <c r="G9" s="4">
        <f t="shared" si="0"/>
        <v>315000</v>
      </c>
      <c r="H9" s="5">
        <v>5000</v>
      </c>
      <c r="I9" s="3">
        <f>VLOOKUP(D9,Information!$B$3:$E$9,3,FALSE)</f>
        <v>2.5000000000000001E-2</v>
      </c>
      <c r="J9" s="16">
        <f t="shared" si="1"/>
        <v>7875</v>
      </c>
      <c r="K9" s="4">
        <f t="shared" si="2"/>
        <v>307125</v>
      </c>
      <c r="L9" s="5">
        <v>291250</v>
      </c>
      <c r="M9" s="4">
        <f t="shared" si="3"/>
        <v>15875</v>
      </c>
      <c r="N9" s="3">
        <f t="shared" si="4"/>
        <v>5.4506437768240344E-2</v>
      </c>
    </row>
    <row r="10" spans="1:14" x14ac:dyDescent="0.2">
      <c r="A10" t="s">
        <v>0</v>
      </c>
      <c r="B10" t="s">
        <v>21</v>
      </c>
      <c r="C10" t="s">
        <v>8</v>
      </c>
      <c r="D10" t="s">
        <v>5</v>
      </c>
      <c r="E10" s="4">
        <f>VLOOKUP('Sales Data'!D10,Information!$B$3:$E$9,2,FALSE)</f>
        <v>275000</v>
      </c>
      <c r="F10" s="4"/>
      <c r="G10" s="4">
        <f t="shared" si="0"/>
        <v>277500</v>
      </c>
      <c r="H10" s="5">
        <v>2500</v>
      </c>
      <c r="I10" s="3">
        <f>VLOOKUP(D10,Information!$B$3:$E$9,3,FALSE)</f>
        <v>1.4999999999999999E-2</v>
      </c>
      <c r="J10" s="16">
        <f t="shared" si="1"/>
        <v>4162.5</v>
      </c>
      <c r="K10" s="4">
        <f t="shared" si="2"/>
        <v>273337.5</v>
      </c>
      <c r="L10" s="5">
        <v>254540</v>
      </c>
      <c r="M10" s="4">
        <f t="shared" si="3"/>
        <v>18797.5</v>
      </c>
      <c r="N10" s="3">
        <f t="shared" si="4"/>
        <v>7.3848903905083682E-2</v>
      </c>
    </row>
    <row r="11" spans="1:14" x14ac:dyDescent="0.2">
      <c r="A11" t="s">
        <v>0</v>
      </c>
      <c r="B11" t="s">
        <v>22</v>
      </c>
      <c r="C11" t="s">
        <v>9</v>
      </c>
      <c r="D11" t="s">
        <v>6</v>
      </c>
      <c r="E11" s="4">
        <f>VLOOKUP('Sales Data'!D11,Information!$B$3:$E$9,2,FALSE)</f>
        <v>250000</v>
      </c>
      <c r="F11" s="4"/>
      <c r="G11" s="4">
        <f t="shared" si="0"/>
        <v>253450</v>
      </c>
      <c r="H11" s="5">
        <v>3450</v>
      </c>
      <c r="I11" s="3">
        <f>VLOOKUP(D11,Information!$B$3:$E$9,3,FALSE)</f>
        <v>0.01</v>
      </c>
      <c r="J11" s="16">
        <f t="shared" si="1"/>
        <v>2534.5</v>
      </c>
      <c r="K11" s="4">
        <f t="shared" si="2"/>
        <v>250915.5</v>
      </c>
      <c r="L11" s="5">
        <v>236500</v>
      </c>
      <c r="M11" s="4">
        <f t="shared" si="3"/>
        <v>14415.5</v>
      </c>
      <c r="N11" s="3">
        <f t="shared" si="4"/>
        <v>6.0953488372093023E-2</v>
      </c>
    </row>
    <row r="12" spans="1:14" x14ac:dyDescent="0.2">
      <c r="A12" t="s">
        <v>12</v>
      </c>
      <c r="B12" t="s">
        <v>26</v>
      </c>
      <c r="C12" t="s">
        <v>9</v>
      </c>
      <c r="D12" t="s">
        <v>3</v>
      </c>
      <c r="E12" s="4">
        <f>VLOOKUP('Sales Data'!D12,Information!$B$3:$E$9,2,FALSE)</f>
        <v>350000</v>
      </c>
      <c r="F12" s="4"/>
      <c r="G12" s="4">
        <f t="shared" si="0"/>
        <v>360500</v>
      </c>
      <c r="H12" s="5">
        <v>10500</v>
      </c>
      <c r="I12" s="3">
        <f>VLOOKUP(D12,Information!$B$3:$E$9,3,FALSE)</f>
        <v>0.03</v>
      </c>
      <c r="J12" s="16">
        <f t="shared" si="1"/>
        <v>10815</v>
      </c>
      <c r="K12" s="4">
        <f t="shared" si="2"/>
        <v>349685</v>
      </c>
      <c r="L12" s="5">
        <v>310000</v>
      </c>
      <c r="M12" s="4">
        <f t="shared" si="3"/>
        <v>39685</v>
      </c>
      <c r="N12" s="3">
        <f t="shared" si="4"/>
        <v>0.12801612903225806</v>
      </c>
    </row>
    <row r="13" spans="1:14" x14ac:dyDescent="0.2">
      <c r="A13" t="s">
        <v>12</v>
      </c>
      <c r="B13" t="s">
        <v>27</v>
      </c>
      <c r="C13" t="s">
        <v>9</v>
      </c>
      <c r="D13" t="s">
        <v>4</v>
      </c>
      <c r="E13" s="4">
        <f>VLOOKUP('Sales Data'!D13,Information!$B$3:$E$9,2,FALSE)</f>
        <v>325000</v>
      </c>
      <c r="F13" s="4"/>
      <c r="G13" s="4">
        <f t="shared" si="0"/>
        <v>326000</v>
      </c>
      <c r="H13" s="5">
        <v>1000</v>
      </c>
      <c r="I13" s="3">
        <f>VLOOKUP(D13,Information!$B$3:$E$9,3,FALSE)</f>
        <v>2.5000000000000001E-2</v>
      </c>
      <c r="J13" s="16">
        <f t="shared" si="1"/>
        <v>8150</v>
      </c>
      <c r="K13" s="4">
        <f t="shared" si="2"/>
        <v>317850</v>
      </c>
      <c r="L13" s="5">
        <v>299975</v>
      </c>
      <c r="M13" s="4">
        <f t="shared" si="3"/>
        <v>17875</v>
      </c>
      <c r="N13" s="3">
        <f t="shared" si="4"/>
        <v>5.9588299024918745E-2</v>
      </c>
    </row>
    <row r="14" spans="1:14" x14ac:dyDescent="0.2">
      <c r="A14" t="s">
        <v>12</v>
      </c>
      <c r="B14" t="s">
        <v>28</v>
      </c>
      <c r="C14" t="s">
        <v>9</v>
      </c>
      <c r="D14" t="s">
        <v>14</v>
      </c>
      <c r="E14" s="4">
        <f>VLOOKUP('Sales Data'!D14,Information!$B$3:$E$9,2,FALSE)</f>
        <v>310000</v>
      </c>
      <c r="F14" s="4"/>
      <c r="G14" s="4">
        <f t="shared" si="0"/>
        <v>341000</v>
      </c>
      <c r="H14" s="5">
        <v>31000</v>
      </c>
      <c r="I14" s="3">
        <f>VLOOKUP(D14,Information!$B$3:$E$9,3,FALSE)</f>
        <v>2.5000000000000001E-2</v>
      </c>
      <c r="J14" s="16">
        <f t="shared" si="1"/>
        <v>8525</v>
      </c>
      <c r="K14" s="4">
        <f t="shared" si="2"/>
        <v>332475</v>
      </c>
      <c r="L14" s="5">
        <v>302500</v>
      </c>
      <c r="M14" s="4">
        <f t="shared" si="3"/>
        <v>29975</v>
      </c>
      <c r="N14" s="3">
        <f t="shared" si="4"/>
        <v>9.9090909090909091E-2</v>
      </c>
    </row>
    <row r="15" spans="1:14" x14ac:dyDescent="0.2">
      <c r="A15" t="s">
        <v>12</v>
      </c>
      <c r="B15" t="s">
        <v>24</v>
      </c>
      <c r="C15" t="s">
        <v>10</v>
      </c>
      <c r="D15" t="s">
        <v>5</v>
      </c>
      <c r="E15" s="4">
        <f>VLOOKUP('Sales Data'!D15,Information!$B$3:$E$9,2,FALSE)</f>
        <v>275000</v>
      </c>
      <c r="F15" s="4"/>
      <c r="G15" s="4">
        <f t="shared" si="0"/>
        <v>283500</v>
      </c>
      <c r="H15" s="5">
        <v>8500</v>
      </c>
      <c r="I15" s="3">
        <f>VLOOKUP(D15,Information!$B$3:$E$9,3,FALSE)</f>
        <v>1.4999999999999999E-2</v>
      </c>
      <c r="J15" s="16">
        <f t="shared" si="1"/>
        <v>4252.5</v>
      </c>
      <c r="K15" s="4">
        <f t="shared" si="2"/>
        <v>279247.5</v>
      </c>
      <c r="L15" s="5">
        <v>260000</v>
      </c>
      <c r="M15" s="4">
        <f t="shared" si="3"/>
        <v>19247.5</v>
      </c>
      <c r="N15" s="3">
        <f t="shared" si="4"/>
        <v>7.4028846153846153E-2</v>
      </c>
    </row>
    <row r="16" spans="1:14" x14ac:dyDescent="0.2">
      <c r="A16" t="s">
        <v>12</v>
      </c>
      <c r="B16" t="s">
        <v>23</v>
      </c>
      <c r="C16" t="s">
        <v>8</v>
      </c>
      <c r="D16" t="s">
        <v>6</v>
      </c>
      <c r="E16" s="4">
        <f>VLOOKUP('Sales Data'!D16,Information!$B$3:$E$9,2,FALSE)</f>
        <v>250000</v>
      </c>
      <c r="F16" s="4"/>
      <c r="G16" s="4">
        <f t="shared" si="0"/>
        <v>250500</v>
      </c>
      <c r="H16" s="5">
        <v>500</v>
      </c>
      <c r="I16" s="3">
        <f>VLOOKUP(D16,Information!$B$3:$E$9,3,FALSE)</f>
        <v>0.01</v>
      </c>
      <c r="J16" s="16">
        <f t="shared" si="1"/>
        <v>2505</v>
      </c>
      <c r="K16" s="4">
        <f t="shared" si="2"/>
        <v>247995</v>
      </c>
      <c r="L16" s="5">
        <v>225450</v>
      </c>
      <c r="M16" s="4">
        <f t="shared" si="3"/>
        <v>22545</v>
      </c>
      <c r="N16" s="3">
        <f t="shared" si="4"/>
        <v>0.1</v>
      </c>
    </row>
    <row r="17" spans="1:14" x14ac:dyDescent="0.2">
      <c r="A17" t="s">
        <v>12</v>
      </c>
      <c r="B17" t="s">
        <v>25</v>
      </c>
      <c r="C17" t="s">
        <v>9</v>
      </c>
      <c r="D17" t="s">
        <v>3</v>
      </c>
      <c r="E17" s="4">
        <f>VLOOKUP('Sales Data'!D17,Information!$B$3:$E$9,2,FALSE)</f>
        <v>350000</v>
      </c>
      <c r="F17" s="4"/>
      <c r="G17" s="4">
        <f t="shared" si="0"/>
        <v>379900</v>
      </c>
      <c r="H17" s="5">
        <v>29900</v>
      </c>
      <c r="I17" s="3">
        <f>VLOOKUP(D17,Information!$B$3:$E$9,3,FALSE)</f>
        <v>0.03</v>
      </c>
      <c r="J17" s="16">
        <f t="shared" si="1"/>
        <v>11397</v>
      </c>
      <c r="K17" s="4">
        <f t="shared" si="2"/>
        <v>368503</v>
      </c>
      <c r="L17" s="5">
        <v>329950</v>
      </c>
      <c r="M17" s="4">
        <f t="shared" si="3"/>
        <v>38553</v>
      </c>
      <c r="N17" s="3">
        <f t="shared" si="4"/>
        <v>0.11684497651159266</v>
      </c>
    </row>
    <row r="18" spans="1:14" x14ac:dyDescent="0.2">
      <c r="A18" t="s">
        <v>12</v>
      </c>
      <c r="B18" t="s">
        <v>29</v>
      </c>
      <c r="C18" t="s">
        <v>8</v>
      </c>
      <c r="D18" t="s">
        <v>3</v>
      </c>
      <c r="E18" s="4">
        <f>VLOOKUP('Sales Data'!D18,Information!$B$3:$E$9,2,FALSE)</f>
        <v>350000</v>
      </c>
      <c r="F18" s="4"/>
      <c r="G18" s="4">
        <f t="shared" si="0"/>
        <v>364450</v>
      </c>
      <c r="H18" s="5">
        <v>14450</v>
      </c>
      <c r="I18" s="3">
        <f>VLOOKUP(D18,Information!$B$3:$E$9,3,FALSE)</f>
        <v>0.03</v>
      </c>
      <c r="J18" s="16">
        <f t="shared" si="1"/>
        <v>10933.5</v>
      </c>
      <c r="K18" s="4">
        <f t="shared" si="2"/>
        <v>353516.5</v>
      </c>
      <c r="L18" s="5">
        <v>340000</v>
      </c>
      <c r="M18" s="4">
        <f t="shared" si="3"/>
        <v>13516.5</v>
      </c>
      <c r="N18" s="3">
        <f t="shared" si="4"/>
        <v>3.9754411764705885E-2</v>
      </c>
    </row>
    <row r="19" spans="1:14" x14ac:dyDescent="0.2">
      <c r="A19" t="s">
        <v>12</v>
      </c>
      <c r="B19" t="s">
        <v>30</v>
      </c>
      <c r="C19" t="s">
        <v>9</v>
      </c>
      <c r="D19" t="s">
        <v>6</v>
      </c>
      <c r="E19" s="4">
        <f>VLOOKUP('Sales Data'!D19,Information!$B$3:$E$9,2,FALSE)</f>
        <v>250000</v>
      </c>
      <c r="F19" s="4"/>
      <c r="G19" s="4">
        <f t="shared" si="0"/>
        <v>250250</v>
      </c>
      <c r="H19" s="5">
        <v>250</v>
      </c>
      <c r="I19" s="3">
        <f>VLOOKUP(D19,Information!$B$3:$E$9,3,FALSE)</f>
        <v>0.01</v>
      </c>
      <c r="J19" s="16">
        <f t="shared" si="1"/>
        <v>2502.5</v>
      </c>
      <c r="K19" s="4">
        <f t="shared" si="2"/>
        <v>247747.5</v>
      </c>
      <c r="L19" s="5">
        <v>230950</v>
      </c>
      <c r="M19" s="4">
        <f t="shared" si="3"/>
        <v>16797.5</v>
      </c>
      <c r="N19" s="3">
        <f t="shared" si="4"/>
        <v>7.2732193115392946E-2</v>
      </c>
    </row>
    <row r="20" spans="1:14" x14ac:dyDescent="0.2">
      <c r="A20" t="s">
        <v>15</v>
      </c>
      <c r="B20" t="s">
        <v>35</v>
      </c>
      <c r="C20" t="s">
        <v>10</v>
      </c>
      <c r="D20" t="s">
        <v>4</v>
      </c>
      <c r="E20" s="4">
        <f>VLOOKUP('Sales Data'!D20,Information!$B$3:$E$9,2,FALSE)</f>
        <v>325000</v>
      </c>
      <c r="F20" s="4"/>
      <c r="G20" s="4">
        <f t="shared" si="0"/>
        <v>340000</v>
      </c>
      <c r="H20" s="5">
        <v>15000</v>
      </c>
      <c r="I20" s="3">
        <f>VLOOKUP(D20,Information!$B$3:$E$9,3,FALSE)</f>
        <v>2.5000000000000001E-2</v>
      </c>
      <c r="J20" s="16">
        <f t="shared" si="1"/>
        <v>8500</v>
      </c>
      <c r="K20" s="4">
        <f t="shared" si="2"/>
        <v>331500</v>
      </c>
      <c r="L20" s="5">
        <v>304500</v>
      </c>
      <c r="M20" s="4">
        <f t="shared" si="3"/>
        <v>27000</v>
      </c>
      <c r="N20" s="3">
        <f t="shared" si="4"/>
        <v>8.8669950738916259E-2</v>
      </c>
    </row>
    <row r="21" spans="1:14" x14ac:dyDescent="0.2">
      <c r="A21" t="s">
        <v>15</v>
      </c>
      <c r="B21" t="s">
        <v>31</v>
      </c>
      <c r="C21" t="s">
        <v>8</v>
      </c>
      <c r="D21" t="s">
        <v>3</v>
      </c>
      <c r="E21" s="4">
        <f>VLOOKUP('Sales Data'!D21,Information!$B$3:$E$9,2,FALSE)</f>
        <v>350000</v>
      </c>
      <c r="F21" s="4"/>
      <c r="G21" s="4">
        <f t="shared" si="0"/>
        <v>377590</v>
      </c>
      <c r="H21" s="5">
        <v>27590</v>
      </c>
      <c r="I21" s="3">
        <f>VLOOKUP(D21,Information!$B$3:$E$9,3,FALSE)</f>
        <v>0.03</v>
      </c>
      <c r="J21" s="16">
        <f t="shared" si="1"/>
        <v>11327.699999999999</v>
      </c>
      <c r="K21" s="4">
        <f t="shared" si="2"/>
        <v>366262.3</v>
      </c>
      <c r="L21" s="5">
        <v>343500</v>
      </c>
      <c r="M21" s="4">
        <f t="shared" si="3"/>
        <v>22762.299999999988</v>
      </c>
      <c r="N21" s="3">
        <f t="shared" si="4"/>
        <v>6.6265793304221221E-2</v>
      </c>
    </row>
    <row r="22" spans="1:14" x14ac:dyDescent="0.2">
      <c r="A22" t="s">
        <v>15</v>
      </c>
      <c r="B22" t="s">
        <v>32</v>
      </c>
      <c r="C22" t="s">
        <v>8</v>
      </c>
      <c r="D22" t="s">
        <v>13</v>
      </c>
      <c r="E22" s="4">
        <f>VLOOKUP('Sales Data'!D22,Information!$B$3:$E$9,2,FALSE)</f>
        <v>250000</v>
      </c>
      <c r="F22" s="4"/>
      <c r="G22" s="4">
        <f t="shared" si="0"/>
        <v>257500</v>
      </c>
      <c r="H22" s="5">
        <v>7500</v>
      </c>
      <c r="I22" s="3">
        <f>VLOOKUP(D22,Information!$B$3:$E$9,3,FALSE)</f>
        <v>0.01</v>
      </c>
      <c r="J22" s="16">
        <f t="shared" si="1"/>
        <v>2575</v>
      </c>
      <c r="K22" s="4">
        <f t="shared" si="2"/>
        <v>254925</v>
      </c>
      <c r="L22" s="5">
        <v>237500</v>
      </c>
      <c r="M22" s="4">
        <f t="shared" si="3"/>
        <v>17425</v>
      </c>
      <c r="N22" s="3">
        <f t="shared" si="4"/>
        <v>7.3368421052631583E-2</v>
      </c>
    </row>
    <row r="23" spans="1:14" x14ac:dyDescent="0.2">
      <c r="A23" t="s">
        <v>15</v>
      </c>
      <c r="B23" t="s">
        <v>33</v>
      </c>
      <c r="C23" t="s">
        <v>8</v>
      </c>
      <c r="D23" t="s">
        <v>14</v>
      </c>
      <c r="E23" s="4">
        <f>VLOOKUP('Sales Data'!D23,Information!$B$3:$E$9,2,FALSE)</f>
        <v>310000</v>
      </c>
      <c r="F23" s="4"/>
      <c r="G23" s="4">
        <f t="shared" si="0"/>
        <v>318500</v>
      </c>
      <c r="H23" s="5">
        <v>8500</v>
      </c>
      <c r="I23" s="3">
        <f>VLOOKUP(D23,Information!$B$3:$E$9,3,FALSE)</f>
        <v>2.5000000000000001E-2</v>
      </c>
      <c r="J23" s="16">
        <f t="shared" si="1"/>
        <v>7962.5</v>
      </c>
      <c r="K23" s="4">
        <f t="shared" si="2"/>
        <v>310537.5</v>
      </c>
      <c r="L23" s="5">
        <v>295450</v>
      </c>
      <c r="M23" s="4">
        <f t="shared" si="3"/>
        <v>15087.5</v>
      </c>
      <c r="N23" s="3">
        <f t="shared" si="4"/>
        <v>5.1066170248773059E-2</v>
      </c>
    </row>
    <row r="24" spans="1:14" x14ac:dyDescent="0.2">
      <c r="A24" t="s">
        <v>15</v>
      </c>
      <c r="B24" t="s">
        <v>36</v>
      </c>
      <c r="C24" t="s">
        <v>9</v>
      </c>
      <c r="D24" t="s">
        <v>14</v>
      </c>
      <c r="E24" s="4">
        <f>VLOOKUP('Sales Data'!D24,Information!$B$3:$E$9,2,FALSE)</f>
        <v>310000</v>
      </c>
      <c r="F24" s="4"/>
      <c r="G24" s="4">
        <f t="shared" si="0"/>
        <v>320500</v>
      </c>
      <c r="H24" s="5">
        <v>10500</v>
      </c>
      <c r="I24" s="3">
        <f>VLOOKUP(D24,Information!$B$3:$E$9,3,FALSE)</f>
        <v>2.5000000000000001E-2</v>
      </c>
      <c r="J24" s="16">
        <f t="shared" si="1"/>
        <v>8012.5</v>
      </c>
      <c r="K24" s="4">
        <f t="shared" si="2"/>
        <v>312487.5</v>
      </c>
      <c r="L24" s="5">
        <v>287500</v>
      </c>
      <c r="M24" s="4">
        <f t="shared" si="3"/>
        <v>24987.5</v>
      </c>
      <c r="N24" s="3">
        <f t="shared" si="4"/>
        <v>8.6913043478260871E-2</v>
      </c>
    </row>
    <row r="25" spans="1:14" x14ac:dyDescent="0.2">
      <c r="A25" t="s">
        <v>15</v>
      </c>
      <c r="B25" t="s">
        <v>37</v>
      </c>
      <c r="C25" t="s">
        <v>8</v>
      </c>
      <c r="D25" t="s">
        <v>6</v>
      </c>
      <c r="E25" s="4">
        <f>VLOOKUP('Sales Data'!D25,Information!$B$3:$E$9,2,FALSE)</f>
        <v>250000</v>
      </c>
      <c r="F25" s="4"/>
      <c r="G25" s="4">
        <f t="shared" si="0"/>
        <v>254500</v>
      </c>
      <c r="H25" s="5">
        <v>4500</v>
      </c>
      <c r="I25" s="3">
        <f>VLOOKUP(D25,Information!$B$3:$E$9,3,FALSE)</f>
        <v>0.01</v>
      </c>
      <c r="J25" s="16">
        <f t="shared" si="1"/>
        <v>2545</v>
      </c>
      <c r="K25" s="4">
        <f t="shared" si="2"/>
        <v>251955</v>
      </c>
      <c r="L25" s="5">
        <v>222450</v>
      </c>
      <c r="M25" s="4">
        <f t="shared" si="3"/>
        <v>29505</v>
      </c>
      <c r="N25" s="3">
        <f t="shared" si="4"/>
        <v>0.13263654753877277</v>
      </c>
    </row>
    <row r="26" spans="1:14" x14ac:dyDescent="0.2">
      <c r="A26" t="s">
        <v>15</v>
      </c>
      <c r="B26" t="s">
        <v>38</v>
      </c>
      <c r="C26" t="s">
        <v>10</v>
      </c>
      <c r="D26" t="s">
        <v>5</v>
      </c>
      <c r="E26" s="4">
        <f>VLOOKUP('Sales Data'!D26,Information!$B$3:$E$9,2,FALSE)</f>
        <v>275000</v>
      </c>
      <c r="F26" s="4"/>
      <c r="G26" s="4">
        <f t="shared" si="0"/>
        <v>279000</v>
      </c>
      <c r="H26" s="5">
        <v>4000</v>
      </c>
      <c r="I26" s="3">
        <f>VLOOKUP(D26,Information!$B$3:$E$9,3,FALSE)</f>
        <v>1.4999999999999999E-2</v>
      </c>
      <c r="J26" s="16">
        <f t="shared" si="1"/>
        <v>4185</v>
      </c>
      <c r="K26" s="4">
        <f t="shared" si="2"/>
        <v>274815</v>
      </c>
      <c r="L26" s="5">
        <v>255900</v>
      </c>
      <c r="M26" s="4">
        <f t="shared" si="3"/>
        <v>18915</v>
      </c>
      <c r="N26" s="3">
        <f t="shared" si="4"/>
        <v>7.3915592028135996E-2</v>
      </c>
    </row>
    <row r="27" spans="1:14" x14ac:dyDescent="0.2">
      <c r="A27" t="s">
        <v>15</v>
      </c>
      <c r="B27" t="s">
        <v>34</v>
      </c>
      <c r="C27" t="s">
        <v>9</v>
      </c>
      <c r="D27" t="s">
        <v>6</v>
      </c>
      <c r="E27" s="4">
        <f>VLOOKUP('Sales Data'!D27,Information!$B$3:$E$9,2,FALSE)</f>
        <v>250000</v>
      </c>
      <c r="F27" s="4"/>
      <c r="G27" s="4">
        <f t="shared" si="0"/>
        <v>252500</v>
      </c>
      <c r="H27" s="5">
        <v>2500</v>
      </c>
      <c r="I27" s="3">
        <f>VLOOKUP(D27,Information!$B$3:$E$9,3,FALSE)</f>
        <v>0.01</v>
      </c>
      <c r="J27" s="16">
        <f t="shared" si="1"/>
        <v>2525</v>
      </c>
      <c r="K27" s="4">
        <f t="shared" si="2"/>
        <v>249975</v>
      </c>
      <c r="L27" s="5">
        <v>230000</v>
      </c>
      <c r="M27" s="4">
        <f t="shared" si="3"/>
        <v>19975</v>
      </c>
      <c r="N27" s="3">
        <f t="shared" si="4"/>
        <v>8.6847826086956528E-2</v>
      </c>
    </row>
    <row r="28" spans="1:14" x14ac:dyDescent="0.2">
      <c r="A28" t="s">
        <v>15</v>
      </c>
      <c r="B28" t="s">
        <v>39</v>
      </c>
      <c r="C28" t="s">
        <v>10</v>
      </c>
      <c r="D28" t="s">
        <v>13</v>
      </c>
      <c r="E28" s="4">
        <f>VLOOKUP('Sales Data'!D28,Information!$B$3:$E$9,2,FALSE)</f>
        <v>250000</v>
      </c>
      <c r="F28" s="4"/>
      <c r="G28" s="4">
        <f t="shared" si="0"/>
        <v>264500</v>
      </c>
      <c r="H28" s="5">
        <v>14500</v>
      </c>
      <c r="I28" s="3">
        <f>VLOOKUP(D28,Information!$B$3:$E$9,3,FALSE)</f>
        <v>0.01</v>
      </c>
      <c r="J28" s="16">
        <f t="shared" si="1"/>
        <v>2645</v>
      </c>
      <c r="K28" s="4">
        <f t="shared" si="2"/>
        <v>261855</v>
      </c>
      <c r="L28" s="5">
        <v>215950</v>
      </c>
      <c r="M28" s="4">
        <f t="shared" si="3"/>
        <v>45905</v>
      </c>
      <c r="N28" s="3">
        <f t="shared" si="4"/>
        <v>0.21257235471173883</v>
      </c>
    </row>
    <row r="29" spans="1:14" x14ac:dyDescent="0.2">
      <c r="A29" t="s">
        <v>15</v>
      </c>
      <c r="B29" t="s">
        <v>40</v>
      </c>
      <c r="C29" t="s">
        <v>8</v>
      </c>
      <c r="D29" t="s">
        <v>6</v>
      </c>
      <c r="E29" s="4">
        <f>VLOOKUP('Sales Data'!D29,Information!$B$3:$E$9,2,FALSE)</f>
        <v>250000</v>
      </c>
      <c r="F29" s="4"/>
      <c r="G29" s="4">
        <f t="shared" si="0"/>
        <v>257550</v>
      </c>
      <c r="H29" s="5">
        <v>7550</v>
      </c>
      <c r="I29" s="3">
        <f>VLOOKUP(D29,Information!$B$3:$E$9,3,FALSE)</f>
        <v>0.01</v>
      </c>
      <c r="J29" s="16">
        <f t="shared" si="1"/>
        <v>2575.5</v>
      </c>
      <c r="K29" s="4">
        <f t="shared" si="2"/>
        <v>254974.5</v>
      </c>
      <c r="L29" s="5">
        <v>245950</v>
      </c>
      <c r="M29" s="4">
        <f t="shared" si="3"/>
        <v>9024.5</v>
      </c>
      <c r="N29" s="3">
        <f t="shared" si="4"/>
        <v>3.6692417157958936E-2</v>
      </c>
    </row>
    <row r="30" spans="1:14" x14ac:dyDescent="0.2">
      <c r="A30" t="s">
        <v>15</v>
      </c>
      <c r="B30" t="s">
        <v>41</v>
      </c>
      <c r="C30" t="s">
        <v>9</v>
      </c>
      <c r="D30" t="s">
        <v>3</v>
      </c>
      <c r="E30" s="4">
        <f>VLOOKUP('Sales Data'!D30,Information!$B$3:$E$9,2,FALSE)</f>
        <v>350000</v>
      </c>
      <c r="F30" s="4"/>
      <c r="G30" s="4">
        <f t="shared" si="0"/>
        <v>369500</v>
      </c>
      <c r="H30" s="5">
        <v>19500</v>
      </c>
      <c r="I30" s="3">
        <f>VLOOKUP(D30,Information!$B$3:$E$9,3,FALSE)</f>
        <v>0.03</v>
      </c>
      <c r="J30" s="16">
        <f t="shared" si="1"/>
        <v>11085</v>
      </c>
      <c r="K30" s="4">
        <f t="shared" si="2"/>
        <v>358415</v>
      </c>
      <c r="L30" s="5">
        <v>333450</v>
      </c>
      <c r="M30" s="4">
        <f t="shared" si="3"/>
        <v>24965</v>
      </c>
      <c r="N30" s="3">
        <f t="shared" si="4"/>
        <v>7.4868795921427506E-2</v>
      </c>
    </row>
    <row r="31" spans="1:14" x14ac:dyDescent="0.2">
      <c r="A31" t="s">
        <v>15</v>
      </c>
      <c r="B31" t="s">
        <v>42</v>
      </c>
      <c r="C31" t="s">
        <v>8</v>
      </c>
      <c r="D31" t="s">
        <v>3</v>
      </c>
      <c r="E31" s="4">
        <f>VLOOKUP('Sales Data'!D31,Information!$B$3:$E$9,2,FALSE)</f>
        <v>350000</v>
      </c>
      <c r="F31" s="4"/>
      <c r="G31" s="4">
        <f t="shared" si="0"/>
        <v>373575</v>
      </c>
      <c r="H31" s="5">
        <v>23575</v>
      </c>
      <c r="I31" s="3">
        <f>VLOOKUP(D31,Information!$B$3:$E$9,3,FALSE)</f>
        <v>0.03</v>
      </c>
      <c r="J31" s="16">
        <f t="shared" si="1"/>
        <v>11207.25</v>
      </c>
      <c r="K31" s="4">
        <f t="shared" si="2"/>
        <v>362367.75</v>
      </c>
      <c r="L31" s="5">
        <v>328500</v>
      </c>
      <c r="M31" s="4">
        <f t="shared" si="3"/>
        <v>33867.75</v>
      </c>
      <c r="N31" s="3">
        <f t="shared" si="4"/>
        <v>0.10309817351598173</v>
      </c>
    </row>
    <row r="32" spans="1:14" x14ac:dyDescent="0.2">
      <c r="A32" t="s">
        <v>15</v>
      </c>
      <c r="B32" t="s">
        <v>43</v>
      </c>
      <c r="C32" t="s">
        <v>9</v>
      </c>
      <c r="D32" t="s">
        <v>6</v>
      </c>
      <c r="E32" s="4">
        <f>VLOOKUP('Sales Data'!D32,Information!$B$3:$E$9,2,FALSE)</f>
        <v>250000</v>
      </c>
      <c r="F32" s="4"/>
      <c r="G32" s="4">
        <f t="shared" si="0"/>
        <v>251295</v>
      </c>
      <c r="H32" s="5">
        <v>1295</v>
      </c>
      <c r="I32" s="3">
        <f>VLOOKUP(D32,Information!$B$3:$E$9,3,FALSE)</f>
        <v>0.01</v>
      </c>
      <c r="J32" s="16">
        <f t="shared" si="1"/>
        <v>2512.9500000000003</v>
      </c>
      <c r="K32" s="4">
        <f t="shared" si="2"/>
        <v>248782.05</v>
      </c>
      <c r="L32" s="5">
        <v>235450</v>
      </c>
      <c r="M32" s="4">
        <f t="shared" si="3"/>
        <v>13332.049999999988</v>
      </c>
      <c r="N32" s="3">
        <f t="shared" si="4"/>
        <v>5.6623699299214222E-2</v>
      </c>
    </row>
  </sheetData>
  <pageMargins left="0.7" right="0.7" top="0.75" bottom="0.75" header="0.3" footer="0.3"/>
  <pageSetup scale="8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K11" sqref="K11"/>
    </sheetView>
  </sheetViews>
  <sheetFormatPr baseColWidth="10" defaultColWidth="8.83203125" defaultRowHeight="15" x14ac:dyDescent="0.2"/>
  <cols>
    <col min="1" max="1" width="3.6640625" customWidth="1"/>
    <col min="2" max="2" width="21.33203125" customWidth="1"/>
    <col min="3" max="3" width="11.83203125" customWidth="1"/>
    <col min="4" max="4" width="12.1640625" customWidth="1"/>
    <col min="5" max="5" width="16.5" customWidth="1"/>
  </cols>
  <sheetData>
    <row r="1" spans="1:7" x14ac:dyDescent="0.2">
      <c r="A1" s="9"/>
      <c r="B1" s="9"/>
      <c r="C1" s="9"/>
      <c r="D1" s="9"/>
      <c r="E1" s="9"/>
      <c r="F1" s="8"/>
      <c r="G1" s="8"/>
    </row>
    <row r="2" spans="1:7" x14ac:dyDescent="0.2">
      <c r="A2" s="9"/>
      <c r="B2" s="9"/>
      <c r="C2" s="9"/>
      <c r="D2" s="9"/>
      <c r="E2" s="9"/>
      <c r="F2" s="9"/>
      <c r="G2" s="9"/>
    </row>
    <row r="3" spans="1:7" x14ac:dyDescent="0.2">
      <c r="B3" t="s">
        <v>2</v>
      </c>
      <c r="C3" t="s">
        <v>1</v>
      </c>
      <c r="D3" t="s">
        <v>44</v>
      </c>
      <c r="E3" t="s">
        <v>45</v>
      </c>
    </row>
    <row r="4" spans="1:7" x14ac:dyDescent="0.2">
      <c r="B4" t="s">
        <v>14</v>
      </c>
      <c r="C4">
        <v>310000</v>
      </c>
      <c r="D4" s="1">
        <v>2.5000000000000001E-2</v>
      </c>
      <c r="E4">
        <v>3000</v>
      </c>
    </row>
    <row r="5" spans="1:7" x14ac:dyDescent="0.2">
      <c r="B5" t="s">
        <v>13</v>
      </c>
      <c r="C5">
        <v>250000</v>
      </c>
      <c r="D5" s="1">
        <v>0.01</v>
      </c>
      <c r="E5">
        <v>2600</v>
      </c>
    </row>
    <row r="6" spans="1:7" x14ac:dyDescent="0.2">
      <c r="B6" t="s">
        <v>5</v>
      </c>
      <c r="C6">
        <v>275000</v>
      </c>
      <c r="D6" s="1">
        <v>1.4999999999999999E-2</v>
      </c>
      <c r="E6">
        <v>2800</v>
      </c>
    </row>
    <row r="7" spans="1:7" x14ac:dyDescent="0.2">
      <c r="B7" t="s">
        <v>6</v>
      </c>
      <c r="C7">
        <v>250000</v>
      </c>
      <c r="D7" s="1">
        <v>0.01</v>
      </c>
      <c r="E7">
        <v>2700</v>
      </c>
    </row>
    <row r="8" spans="1:7" x14ac:dyDescent="0.2">
      <c r="B8" t="s">
        <v>3</v>
      </c>
      <c r="C8">
        <v>350000</v>
      </c>
      <c r="D8" s="1">
        <v>0.03</v>
      </c>
      <c r="E8">
        <v>3300</v>
      </c>
    </row>
    <row r="9" spans="1:7" x14ac:dyDescent="0.2">
      <c r="B9" t="s">
        <v>4</v>
      </c>
      <c r="C9">
        <v>325000</v>
      </c>
      <c r="D9" s="1">
        <v>2.5000000000000001E-2</v>
      </c>
      <c r="E9">
        <v>3400</v>
      </c>
    </row>
  </sheetData>
  <sortState xmlns:xlrd2="http://schemas.microsoft.com/office/spreadsheetml/2017/richdata2" ref="B2:C7">
    <sortCondition ref="B2:B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Summary</vt:lpstr>
      <vt:lpstr>Sales Data</vt:lpstr>
      <vt:lpstr>Information</vt:lpstr>
      <vt:lpstr>abc</vt:lpstr>
      <vt:lpstr>base_price</vt:lpstr>
      <vt:lpstr>Communities</vt:lpstr>
      <vt:lpstr>Cost_sales</vt:lpstr>
      <vt:lpstr>discounts</vt:lpstr>
      <vt:lpstr>Gross_margin</vt:lpstr>
      <vt:lpstr>Gross_mgn</vt:lpstr>
      <vt:lpstr>Gross_pct</vt:lpstr>
      <vt:lpstr>House_Pla</vt:lpstr>
      <vt:lpstr>Net_price</vt:lpstr>
      <vt:lpstr>plan</vt:lpstr>
      <vt:lpstr>Square_footage</vt:lpstr>
    </vt:vector>
  </TitlesOfParts>
  <Company>Brigham Young University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 Idaho</dc:creator>
  <cp:lastModifiedBy>Mthabisi Munyariri</cp:lastModifiedBy>
  <cp:lastPrinted>2015-09-04T17:31:40Z</cp:lastPrinted>
  <dcterms:created xsi:type="dcterms:W3CDTF">2015-09-04T17:17:31Z</dcterms:created>
  <dcterms:modified xsi:type="dcterms:W3CDTF">2023-08-30T14:45:04Z</dcterms:modified>
</cp:coreProperties>
</file>