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cl\Documents\"/>
    </mc:Choice>
  </mc:AlternateContent>
  <xr:revisionPtr revIDLastSave="0" documentId="13_ncr:1_{4FE3A0DF-640B-4913-9F5B-7C992EDEDC67}" xr6:coauthVersionLast="46" xr6:coauthVersionMax="46" xr10:uidLastSave="{00000000-0000-0000-0000-000000000000}"/>
  <bookViews>
    <workbookView xWindow="10596" yWindow="564" windowWidth="12012" windowHeight="11136" activeTab="2" xr2:uid="{FB4547C9-45BA-4C05-A6A5-53AC410E1A44}"/>
  </bookViews>
  <sheets>
    <sheet name="McBride Analysis" sheetId="1" r:id="rId1"/>
    <sheet name="Rudisha Analysis" sheetId="2" r:id="rId2"/>
    <sheet name="Lewandowski Analysis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4" i="3" l="1"/>
  <c r="C33" i="3"/>
  <c r="C32" i="3"/>
  <c r="C31" i="3"/>
  <c r="C30" i="3"/>
  <c r="C29" i="3"/>
  <c r="C28" i="3"/>
  <c r="E14" i="3"/>
  <c r="C24" i="3"/>
  <c r="C25" i="3"/>
  <c r="C26" i="3"/>
  <c r="C27" i="3"/>
  <c r="C23" i="3"/>
  <c r="C22" i="3"/>
  <c r="C21" i="3"/>
  <c r="C20" i="3"/>
  <c r="C19" i="3"/>
  <c r="C18" i="3"/>
  <c r="C17" i="3"/>
  <c r="C16" i="3"/>
  <c r="C15" i="3"/>
  <c r="C14" i="3"/>
  <c r="E7" i="3"/>
  <c r="C13" i="3"/>
  <c r="C12" i="3"/>
  <c r="C11" i="3"/>
  <c r="C10" i="3"/>
  <c r="C9" i="3"/>
  <c r="C8" i="3"/>
  <c r="C7" i="3"/>
  <c r="E4" i="3"/>
  <c r="C4" i="3"/>
  <c r="C5" i="3"/>
  <c r="C6" i="3"/>
  <c r="C3" i="3"/>
  <c r="C2" i="3"/>
  <c r="E2" i="3"/>
  <c r="T22" i="3"/>
  <c r="T23" i="3" s="1"/>
  <c r="S22" i="3"/>
  <c r="S23" i="3" s="1"/>
  <c r="R22" i="3"/>
  <c r="R23" i="3" s="1"/>
  <c r="Q22" i="3"/>
  <c r="Q23" i="3" s="1"/>
  <c r="T18" i="2"/>
  <c r="T19" i="2" s="1"/>
  <c r="S18" i="2"/>
  <c r="S19" i="2" s="1"/>
  <c r="R18" i="2"/>
  <c r="Q18" i="2"/>
  <c r="Q19" i="2"/>
  <c r="R19" i="2"/>
  <c r="W4" i="2"/>
  <c r="W5" i="2"/>
  <c r="W6" i="2"/>
  <c r="W7" i="2"/>
  <c r="W8" i="2"/>
  <c r="W9" i="2"/>
  <c r="W10" i="2"/>
  <c r="W11" i="2"/>
  <c r="W12" i="2"/>
  <c r="W13" i="2"/>
  <c r="W14" i="2"/>
  <c r="W3" i="2"/>
  <c r="T3" i="2"/>
  <c r="T4" i="2"/>
  <c r="T5" i="2"/>
  <c r="T6" i="2"/>
  <c r="T7" i="2"/>
  <c r="T8" i="2"/>
  <c r="T9" i="2"/>
  <c r="T10" i="2"/>
  <c r="T11" i="2"/>
  <c r="T12" i="2"/>
  <c r="T13" i="2"/>
  <c r="T14" i="2"/>
  <c r="M27" i="2"/>
  <c r="L27" i="2"/>
  <c r="N26" i="2"/>
  <c r="N25" i="2"/>
  <c r="M26" i="2"/>
  <c r="M25" i="2"/>
  <c r="L26" i="2"/>
  <c r="L25" i="2"/>
  <c r="E108" i="2"/>
  <c r="C110" i="2"/>
  <c r="C109" i="2"/>
  <c r="C108" i="2"/>
  <c r="E97" i="2"/>
  <c r="C107" i="2"/>
  <c r="C106" i="2"/>
  <c r="C105" i="2"/>
  <c r="C104" i="2"/>
  <c r="C103" i="2"/>
  <c r="C102" i="2"/>
  <c r="C101" i="2"/>
  <c r="C100" i="2"/>
  <c r="C99" i="2"/>
  <c r="C98" i="2"/>
  <c r="C97" i="2"/>
  <c r="E86" i="2"/>
  <c r="C96" i="2"/>
  <c r="C95" i="2"/>
  <c r="C94" i="2"/>
  <c r="C93" i="2"/>
  <c r="C92" i="2"/>
  <c r="C91" i="2"/>
  <c r="C90" i="2"/>
  <c r="C89" i="2"/>
  <c r="C88" i="2"/>
  <c r="C87" i="2"/>
  <c r="C86" i="2"/>
  <c r="E78" i="2"/>
  <c r="C85" i="2"/>
  <c r="C84" i="2"/>
  <c r="C83" i="2"/>
  <c r="C82" i="2"/>
  <c r="C81" i="2"/>
  <c r="C80" i="2"/>
  <c r="C79" i="2"/>
  <c r="C78" i="2"/>
  <c r="E76" i="2"/>
  <c r="C77" i="2"/>
  <c r="C76" i="2"/>
  <c r="E67" i="2"/>
  <c r="C75" i="2"/>
  <c r="C74" i="2"/>
  <c r="C73" i="2"/>
  <c r="C72" i="2"/>
  <c r="C71" i="2"/>
  <c r="C70" i="2"/>
  <c r="C69" i="2"/>
  <c r="C68" i="2"/>
  <c r="C67" i="2"/>
  <c r="E52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E36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E25" i="2"/>
  <c r="C35" i="2"/>
  <c r="C34" i="2"/>
  <c r="C33" i="2"/>
  <c r="C32" i="2"/>
  <c r="C31" i="2"/>
  <c r="C30" i="2"/>
  <c r="C29" i="2"/>
  <c r="C28" i="2"/>
  <c r="C27" i="2"/>
  <c r="C26" i="2"/>
  <c r="C25" i="2"/>
  <c r="E16" i="2"/>
  <c r="C24" i="2"/>
  <c r="C23" i="2"/>
  <c r="C22" i="2"/>
  <c r="C21" i="2"/>
  <c r="C20" i="2"/>
  <c r="C19" i="2"/>
  <c r="C18" i="2"/>
  <c r="C17" i="2"/>
  <c r="C16" i="2"/>
  <c r="E8" i="2"/>
  <c r="E3" i="2"/>
  <c r="C15" i="2"/>
  <c r="C14" i="2"/>
  <c r="C13" i="2"/>
  <c r="C12" i="2"/>
  <c r="C11" i="2"/>
  <c r="C10" i="2"/>
  <c r="C9" i="2"/>
  <c r="C8" i="2"/>
  <c r="C3" i="2"/>
  <c r="C4" i="2"/>
  <c r="C5" i="2"/>
  <c r="C6" i="2"/>
  <c r="C7" i="2"/>
  <c r="C2" i="2"/>
  <c r="M37" i="1"/>
  <c r="M36" i="1"/>
  <c r="W11" i="1"/>
  <c r="T16" i="1"/>
  <c r="T17" i="1" s="1"/>
  <c r="S16" i="1"/>
  <c r="S17" i="1" s="1"/>
  <c r="T11" i="1"/>
  <c r="R16" i="1"/>
  <c r="R17" i="1" s="1"/>
  <c r="Q16" i="1"/>
  <c r="Q17" i="1" s="1"/>
  <c r="J37" i="1"/>
  <c r="J36" i="1"/>
  <c r="I37" i="1"/>
  <c r="I36" i="1"/>
  <c r="D80" i="1"/>
  <c r="D79" i="1"/>
  <c r="D78" i="1"/>
  <c r="D77" i="1"/>
  <c r="D76" i="1"/>
  <c r="D75" i="1"/>
  <c r="D74" i="1"/>
  <c r="D73" i="1"/>
  <c r="D72" i="1"/>
  <c r="D71" i="1"/>
  <c r="W10" i="1"/>
  <c r="T10" i="1"/>
  <c r="K37" i="1"/>
  <c r="K36" i="1"/>
  <c r="D70" i="1"/>
  <c r="D69" i="1"/>
  <c r="D68" i="1"/>
  <c r="D67" i="1"/>
  <c r="D66" i="1"/>
  <c r="D65" i="1"/>
  <c r="D64" i="1"/>
  <c r="D63" i="1"/>
  <c r="T9" i="1"/>
  <c r="W9" i="1"/>
  <c r="W8" i="1"/>
  <c r="W7" i="1"/>
  <c r="W6" i="1"/>
  <c r="W5" i="1"/>
  <c r="W4" i="1"/>
  <c r="W3" i="1"/>
  <c r="T8" i="1"/>
  <c r="D61" i="1"/>
  <c r="D62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T7" i="1"/>
  <c r="S5" i="1"/>
  <c r="T5" i="1" s="1"/>
  <c r="S4" i="1"/>
  <c r="S3" i="1"/>
  <c r="R6" i="1"/>
  <c r="T6" i="1" s="1"/>
  <c r="R4" i="1"/>
  <c r="R3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19" i="1"/>
  <c r="D18" i="1"/>
  <c r="D17" i="1"/>
  <c r="D16" i="1"/>
  <c r="D15" i="1"/>
  <c r="D13" i="1"/>
  <c r="D12" i="1"/>
  <c r="D11" i="1"/>
  <c r="D8" i="1"/>
  <c r="D4" i="1"/>
  <c r="D14" i="1"/>
  <c r="D10" i="1"/>
  <c r="D9" i="1"/>
  <c r="D2" i="1"/>
  <c r="D3" i="1"/>
  <c r="D6" i="1"/>
  <c r="D7" i="1"/>
  <c r="D5" i="1"/>
  <c r="T3" i="1" l="1"/>
  <c r="T4" i="1"/>
</calcChain>
</file>

<file path=xl/sharedStrings.xml><?xml version="1.0" encoding="utf-8"?>
<sst xmlns="http://schemas.openxmlformats.org/spreadsheetml/2006/main" count="65" uniqueCount="30">
  <si>
    <t>Time</t>
  </si>
  <si>
    <t>Date</t>
  </si>
  <si>
    <t>McBride</t>
  </si>
  <si>
    <t>Age</t>
  </si>
  <si>
    <t>Last Year Included</t>
  </si>
  <si>
    <t>Quadratic Deviation (22)</t>
  </si>
  <si>
    <t>Cubic Deviation (22)</t>
  </si>
  <si>
    <t>Data Points</t>
  </si>
  <si>
    <t>Factor of Superior Accuracy (Q over C)</t>
  </si>
  <si>
    <t>Age (Turning)</t>
  </si>
  <si>
    <t>Generalized Algorithm Prediction (Interpolation)</t>
  </si>
  <si>
    <t>Generalized Algorithm Prediction (Extrapolation)</t>
  </si>
  <si>
    <t>Quadratic</t>
  </si>
  <si>
    <t>Cubic</t>
  </si>
  <si>
    <t>Quartic</t>
  </si>
  <si>
    <t>Data up to 2017</t>
  </si>
  <si>
    <t>Quadratic Deviation (29)</t>
  </si>
  <si>
    <t>Cubic Deviation (29)</t>
  </si>
  <si>
    <t>Year: 2016</t>
  </si>
  <si>
    <t>Year: 2023</t>
  </si>
  <si>
    <t>Data up to 2019</t>
  </si>
  <si>
    <t>Rudisha</t>
  </si>
  <si>
    <t>Yearly Averages</t>
  </si>
  <si>
    <t>Year: 2021</t>
  </si>
  <si>
    <t>Quadratic Deviation (28)</t>
  </si>
  <si>
    <t>Cubic Deviation (28)</t>
  </si>
  <si>
    <t>Quadratic Deviation (33)</t>
  </si>
  <si>
    <t>Cubic Deviation (33)</t>
  </si>
  <si>
    <t>Year: 2024</t>
  </si>
  <si>
    <t>Lewandowski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</si>
</sst>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8" formatCode="_(* #,##0.0000_);_(* \(#,##0.000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15" fontId="0" fillId="0" borderId="0" xfId="0" applyNumberFormat="1"/>
    <xf numFmtId="43" fontId="0" fillId="0" borderId="0" xfId="1" applyFont="1"/>
    <xf numFmtId="9" fontId="0" fillId="0" borderId="0" xfId="2" applyFont="1"/>
    <xf numFmtId="43" fontId="0" fillId="0" borderId="0" xfId="0" applyNumberFormat="1"/>
    <xf numFmtId="0" fontId="0" fillId="0" borderId="0" xfId="0" applyNumberFormat="1"/>
    <xf numFmtId="0" fontId="0" fillId="0" borderId="0" xfId="0" applyFill="1"/>
    <xf numFmtId="2" fontId="0" fillId="0" borderId="0" xfId="0" applyNumberFormat="1"/>
    <xf numFmtId="168" fontId="0" fillId="0" borderId="0" xfId="1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vs 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941447944006998"/>
          <c:y val="0.16708333333333336"/>
          <c:w val="0.83458552055992996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'McBride Analysis'!$E$1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5153459744984904"/>
                  <c:y val="0.1031973607465733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0.21008092738407699"/>
                  <c:y val="-0.7115518372703412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'McBride Analysis'!$D$2:$D$80</c:f>
              <c:numCache>
                <c:formatCode>General</c:formatCode>
                <c:ptCount val="79"/>
                <c:pt idx="0">
                  <c:v>16.930869267624914</c:v>
                </c:pt>
                <c:pt idx="1">
                  <c:v>16.991101984941821</c:v>
                </c:pt>
                <c:pt idx="2">
                  <c:v>17.056810403832991</c:v>
                </c:pt>
                <c:pt idx="3">
                  <c:v>17.059548254620122</c:v>
                </c:pt>
                <c:pt idx="4">
                  <c:v>17.103353867214238</c:v>
                </c:pt>
                <c:pt idx="5">
                  <c:v>17.144421629021217</c:v>
                </c:pt>
                <c:pt idx="6">
                  <c:v>17.94113620807666</c:v>
                </c:pt>
                <c:pt idx="7">
                  <c:v>17.946611909650922</c:v>
                </c:pt>
                <c:pt idx="8">
                  <c:v>17.984941820670773</c:v>
                </c:pt>
                <c:pt idx="9">
                  <c:v>17.984941820670773</c:v>
                </c:pt>
                <c:pt idx="10">
                  <c:v>18.078028747433265</c:v>
                </c:pt>
                <c:pt idx="11">
                  <c:v>18.080766598220396</c:v>
                </c:pt>
                <c:pt idx="12">
                  <c:v>18.083504449007528</c:v>
                </c:pt>
                <c:pt idx="13">
                  <c:v>18.902121834360027</c:v>
                </c:pt>
                <c:pt idx="14">
                  <c:v>18.937713894592743</c:v>
                </c:pt>
                <c:pt idx="15">
                  <c:v>19.09924709103354</c:v>
                </c:pt>
                <c:pt idx="16">
                  <c:v>19.162217659137578</c:v>
                </c:pt>
                <c:pt idx="17">
                  <c:v>19.170431211498972</c:v>
                </c:pt>
                <c:pt idx="18">
                  <c:v>19.843942505133469</c:v>
                </c:pt>
                <c:pt idx="19">
                  <c:v>19.917864476386036</c:v>
                </c:pt>
                <c:pt idx="20">
                  <c:v>19.923340177960302</c:v>
                </c:pt>
                <c:pt idx="21">
                  <c:v>19.953456536618756</c:v>
                </c:pt>
                <c:pt idx="22">
                  <c:v>19.956194387405887</c:v>
                </c:pt>
                <c:pt idx="23">
                  <c:v>19.989048596851472</c:v>
                </c:pt>
                <c:pt idx="24">
                  <c:v>19.994524298425734</c:v>
                </c:pt>
                <c:pt idx="25">
                  <c:v>20.035592060232716</c:v>
                </c:pt>
                <c:pt idx="26">
                  <c:v>20.038329911019851</c:v>
                </c:pt>
                <c:pt idx="27">
                  <c:v>20.120465434633811</c:v>
                </c:pt>
                <c:pt idx="28">
                  <c:v>20.840520191649556</c:v>
                </c:pt>
                <c:pt idx="29">
                  <c:v>20.914442162902123</c:v>
                </c:pt>
                <c:pt idx="30">
                  <c:v>20.917180013689254</c:v>
                </c:pt>
                <c:pt idx="31">
                  <c:v>20.950034223134839</c:v>
                </c:pt>
                <c:pt idx="32">
                  <c:v>20.95277207392197</c:v>
                </c:pt>
                <c:pt idx="33">
                  <c:v>20.985626283367555</c:v>
                </c:pt>
                <c:pt idx="34">
                  <c:v>20.991101984941821</c:v>
                </c:pt>
                <c:pt idx="35">
                  <c:v>21.100616016427104</c:v>
                </c:pt>
                <c:pt idx="36">
                  <c:v>21.856262833675565</c:v>
                </c:pt>
                <c:pt idx="37">
                  <c:v>21.87542778918549</c:v>
                </c:pt>
                <c:pt idx="38">
                  <c:v>21.908281998631075</c:v>
                </c:pt>
                <c:pt idx="39">
                  <c:v>21.913757700205338</c:v>
                </c:pt>
                <c:pt idx="40">
                  <c:v>21.946611909650922</c:v>
                </c:pt>
                <c:pt idx="41">
                  <c:v>21.949349760438057</c:v>
                </c:pt>
                <c:pt idx="42">
                  <c:v>21.982203969883642</c:v>
                </c:pt>
                <c:pt idx="43">
                  <c:v>21.987679671457904</c:v>
                </c:pt>
                <c:pt idx="44">
                  <c:v>22.067077344284737</c:v>
                </c:pt>
                <c:pt idx="45">
                  <c:v>22.069815195071868</c:v>
                </c:pt>
                <c:pt idx="46">
                  <c:v>22.083504449007528</c:v>
                </c:pt>
                <c:pt idx="47">
                  <c:v>22.102669404517453</c:v>
                </c:pt>
                <c:pt idx="48">
                  <c:v>22.160164271047229</c:v>
                </c:pt>
                <c:pt idx="49">
                  <c:v>22.16290212183436</c:v>
                </c:pt>
                <c:pt idx="50">
                  <c:v>22.910335386721425</c:v>
                </c:pt>
                <c:pt idx="51">
                  <c:v>22.965092402464066</c:v>
                </c:pt>
                <c:pt idx="52">
                  <c:v>22.981519507186857</c:v>
                </c:pt>
                <c:pt idx="53">
                  <c:v>23.060917180013689</c:v>
                </c:pt>
                <c:pt idx="54">
                  <c:v>23.06365503080082</c:v>
                </c:pt>
                <c:pt idx="55">
                  <c:v>23.085557837097877</c:v>
                </c:pt>
                <c:pt idx="56">
                  <c:v>23.09924709103354</c:v>
                </c:pt>
                <c:pt idx="57">
                  <c:v>23.140314852840522</c:v>
                </c:pt>
                <c:pt idx="58">
                  <c:v>23.143052703627653</c:v>
                </c:pt>
                <c:pt idx="59">
                  <c:v>23.148528405201915</c:v>
                </c:pt>
                <c:pt idx="60">
                  <c:v>23.1813826146475</c:v>
                </c:pt>
                <c:pt idx="61">
                  <c:v>23.906913073237508</c:v>
                </c:pt>
                <c:pt idx="62">
                  <c:v>23.926078028747433</c:v>
                </c:pt>
                <c:pt idx="63">
                  <c:v>23.958932238193018</c:v>
                </c:pt>
                <c:pt idx="64">
                  <c:v>24.057494866529773</c:v>
                </c:pt>
                <c:pt idx="65">
                  <c:v>24.062970568104038</c:v>
                </c:pt>
                <c:pt idx="66">
                  <c:v>24.095824777549623</c:v>
                </c:pt>
                <c:pt idx="67">
                  <c:v>24.156057494866531</c:v>
                </c:pt>
                <c:pt idx="68">
                  <c:v>24.175222450376456</c:v>
                </c:pt>
                <c:pt idx="69">
                  <c:v>24.958247775496236</c:v>
                </c:pt>
                <c:pt idx="70">
                  <c:v>24.974674880219027</c:v>
                </c:pt>
                <c:pt idx="71">
                  <c:v>25.054072553045859</c:v>
                </c:pt>
                <c:pt idx="72">
                  <c:v>25.073237508555785</c:v>
                </c:pt>
                <c:pt idx="73">
                  <c:v>25.111567419575632</c:v>
                </c:pt>
                <c:pt idx="74">
                  <c:v>25.114305270362767</c:v>
                </c:pt>
                <c:pt idx="75">
                  <c:v>25.190965092402465</c:v>
                </c:pt>
                <c:pt idx="76">
                  <c:v>25.204654346338124</c:v>
                </c:pt>
                <c:pt idx="77">
                  <c:v>25.286789869952088</c:v>
                </c:pt>
                <c:pt idx="78">
                  <c:v>25.289527720739219</c:v>
                </c:pt>
              </c:numCache>
            </c:numRef>
          </c:xVal>
          <c:yVal>
            <c:numRef>
              <c:f>'McBride Analysis'!$E$2:$E$80</c:f>
              <c:numCache>
                <c:formatCode>_(* #,##0.00_);_(* \(#,##0.00\);_(* "-"??_);_(@_)</c:formatCode>
                <c:ptCount val="79"/>
                <c:pt idx="0">
                  <c:v>110.2</c:v>
                </c:pt>
                <c:pt idx="1">
                  <c:v>109.99</c:v>
                </c:pt>
                <c:pt idx="2">
                  <c:v>111.55</c:v>
                </c:pt>
                <c:pt idx="3">
                  <c:v>111</c:v>
                </c:pt>
                <c:pt idx="4">
                  <c:v>110.86</c:v>
                </c:pt>
                <c:pt idx="5">
                  <c:v>108.41</c:v>
                </c:pt>
                <c:pt idx="6">
                  <c:v>110.02</c:v>
                </c:pt>
                <c:pt idx="7">
                  <c:v>107.14</c:v>
                </c:pt>
                <c:pt idx="8">
                  <c:v>112.69</c:v>
                </c:pt>
                <c:pt idx="9">
                  <c:v>113.75</c:v>
                </c:pt>
                <c:pt idx="10">
                  <c:v>109.77</c:v>
                </c:pt>
                <c:pt idx="11">
                  <c:v>107.69</c:v>
                </c:pt>
                <c:pt idx="12">
                  <c:v>106.07</c:v>
                </c:pt>
                <c:pt idx="13">
                  <c:v>110.17</c:v>
                </c:pt>
                <c:pt idx="14">
                  <c:v>111.3</c:v>
                </c:pt>
                <c:pt idx="15">
                  <c:v>107.72</c:v>
                </c:pt>
                <c:pt idx="16">
                  <c:v>110.34</c:v>
                </c:pt>
                <c:pt idx="17">
                  <c:v>106.38</c:v>
                </c:pt>
                <c:pt idx="18">
                  <c:v>105.35</c:v>
                </c:pt>
                <c:pt idx="19">
                  <c:v>107.13</c:v>
                </c:pt>
                <c:pt idx="20">
                  <c:v>107.59</c:v>
                </c:pt>
                <c:pt idx="21">
                  <c:v>108.31</c:v>
                </c:pt>
                <c:pt idx="22">
                  <c:v>106.8</c:v>
                </c:pt>
                <c:pt idx="23">
                  <c:v>108.09</c:v>
                </c:pt>
                <c:pt idx="24">
                  <c:v>106.26</c:v>
                </c:pt>
                <c:pt idx="25">
                  <c:v>109.27</c:v>
                </c:pt>
                <c:pt idx="26">
                  <c:v>106.69</c:v>
                </c:pt>
                <c:pt idx="27">
                  <c:v>109.29</c:v>
                </c:pt>
                <c:pt idx="28">
                  <c:v>106.28</c:v>
                </c:pt>
                <c:pt idx="29">
                  <c:v>105.87</c:v>
                </c:pt>
                <c:pt idx="30">
                  <c:v>106.43</c:v>
                </c:pt>
                <c:pt idx="31">
                  <c:v>108.19</c:v>
                </c:pt>
                <c:pt idx="32">
                  <c:v>105.97</c:v>
                </c:pt>
                <c:pt idx="33">
                  <c:v>107.28</c:v>
                </c:pt>
                <c:pt idx="34">
                  <c:v>110.11</c:v>
                </c:pt>
                <c:pt idx="35">
                  <c:v>109.65</c:v>
                </c:pt>
                <c:pt idx="36">
                  <c:v>106.14</c:v>
                </c:pt>
                <c:pt idx="37">
                  <c:v>104.63</c:v>
                </c:pt>
                <c:pt idx="38">
                  <c:v>107.38</c:v>
                </c:pt>
                <c:pt idx="39">
                  <c:v>105.68</c:v>
                </c:pt>
                <c:pt idx="40">
                  <c:v>106.91</c:v>
                </c:pt>
                <c:pt idx="41">
                  <c:v>104.89</c:v>
                </c:pt>
                <c:pt idx="42">
                  <c:v>105.48</c:v>
                </c:pt>
                <c:pt idx="43">
                  <c:v>104.5</c:v>
                </c:pt>
                <c:pt idx="44">
                  <c:v>108.02</c:v>
                </c:pt>
                <c:pt idx="45">
                  <c:v>105.25</c:v>
                </c:pt>
                <c:pt idx="46">
                  <c:v>104.9</c:v>
                </c:pt>
                <c:pt idx="47">
                  <c:v>103.95</c:v>
                </c:pt>
                <c:pt idx="48">
                  <c:v>105.99</c:v>
                </c:pt>
                <c:pt idx="49">
                  <c:v>105.41</c:v>
                </c:pt>
                <c:pt idx="50">
                  <c:v>106.4</c:v>
                </c:pt>
                <c:pt idx="51">
                  <c:v>105.36</c:v>
                </c:pt>
                <c:pt idx="52">
                  <c:v>106.69</c:v>
                </c:pt>
                <c:pt idx="53">
                  <c:v>107.38</c:v>
                </c:pt>
                <c:pt idx="54">
                  <c:v>105.23</c:v>
                </c:pt>
                <c:pt idx="55">
                  <c:v>105.01</c:v>
                </c:pt>
                <c:pt idx="56">
                  <c:v>104.41</c:v>
                </c:pt>
                <c:pt idx="57">
                  <c:v>105.69</c:v>
                </c:pt>
                <c:pt idx="58">
                  <c:v>105.53</c:v>
                </c:pt>
                <c:pt idx="59">
                  <c:v>107.09</c:v>
                </c:pt>
                <c:pt idx="60">
                  <c:v>105.39</c:v>
                </c:pt>
                <c:pt idx="61">
                  <c:v>105.78</c:v>
                </c:pt>
                <c:pt idx="62">
                  <c:v>105.18</c:v>
                </c:pt>
                <c:pt idx="63">
                  <c:v>104.99</c:v>
                </c:pt>
                <c:pt idx="64">
                  <c:v>109.83</c:v>
                </c:pt>
                <c:pt idx="65">
                  <c:v>106.42</c:v>
                </c:pt>
                <c:pt idx="66">
                  <c:v>103.2</c:v>
                </c:pt>
                <c:pt idx="67">
                  <c:v>106.14</c:v>
                </c:pt>
                <c:pt idx="68">
                  <c:v>105.78</c:v>
                </c:pt>
                <c:pt idx="69">
                  <c:v>105.04</c:v>
                </c:pt>
                <c:pt idx="70">
                  <c:v>103.9</c:v>
                </c:pt>
                <c:pt idx="71">
                  <c:v>104.14</c:v>
                </c:pt>
                <c:pt idx="72">
                  <c:v>103.83</c:v>
                </c:pt>
                <c:pt idx="73">
                  <c:v>109.7</c:v>
                </c:pt>
                <c:pt idx="74">
                  <c:v>104.63</c:v>
                </c:pt>
                <c:pt idx="75">
                  <c:v>103.78</c:v>
                </c:pt>
                <c:pt idx="76">
                  <c:v>103.51</c:v>
                </c:pt>
                <c:pt idx="77">
                  <c:v>105.96</c:v>
                </c:pt>
                <c:pt idx="78">
                  <c:v>106.21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10-4FAF-A08C-2260ADB269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579904"/>
        <c:axId val="148581568"/>
      </c:scatterChart>
      <c:valAx>
        <c:axId val="148579904"/>
        <c:scaling>
          <c:orientation val="minMax"/>
          <c:min val="1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581568"/>
        <c:crosses val="autoZero"/>
        <c:crossBetween val="midCat"/>
      </c:valAx>
      <c:valAx>
        <c:axId val="14858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579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Absolute</a:t>
            </a:r>
            <a:r>
              <a:rPr lang="en-CA" baseline="0"/>
              <a:t> Deviation of Curves of Best Fit (Interpolation)</a:t>
            </a:r>
            <a:endParaRPr lang="en-CA"/>
          </a:p>
        </c:rich>
      </c:tx>
      <c:layout>
        <c:manualLayout>
          <c:xMode val="edge"/>
          <c:yMode val="edge"/>
          <c:x val="0.18016666666666667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'McBride Analysis'!$R$2</c:f>
              <c:strCache>
                <c:ptCount val="1"/>
                <c:pt idx="0">
                  <c:v>Quadratic Deviation (22)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50741207349081363"/>
                  <c:y val="-0.359173592884222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'McBride Analysis'!$Q$3:$Q$7</c:f>
              <c:numCache>
                <c:formatCode>General</c:formatCode>
                <c:ptCount val="5"/>
                <c:pt idx="0">
                  <c:v>6</c:v>
                </c:pt>
                <c:pt idx="1">
                  <c:v>13</c:v>
                </c:pt>
                <c:pt idx="2">
                  <c:v>18</c:v>
                </c:pt>
                <c:pt idx="3">
                  <c:v>28</c:v>
                </c:pt>
                <c:pt idx="4">
                  <c:v>36</c:v>
                </c:pt>
              </c:numCache>
            </c:numRef>
          </c:xVal>
          <c:yVal>
            <c:numRef>
              <c:f>'McBride Analysis'!$R$3:$R$7</c:f>
              <c:numCache>
                <c:formatCode>General</c:formatCode>
                <c:ptCount val="5"/>
                <c:pt idx="0">
                  <c:v>4036.42</c:v>
                </c:pt>
                <c:pt idx="1">
                  <c:v>139.38200000000001</c:v>
                </c:pt>
                <c:pt idx="2">
                  <c:v>1.5993999999999999</c:v>
                </c:pt>
                <c:pt idx="3">
                  <c:v>0.45279999999999998</c:v>
                </c:pt>
                <c:pt idx="4">
                  <c:v>2.6132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CA-4CED-91B8-677E93BDD343}"/>
            </c:ext>
          </c:extLst>
        </c:ser>
        <c:ser>
          <c:idx val="1"/>
          <c:order val="1"/>
          <c:tx>
            <c:strRef>
              <c:f>'McBride Analysis'!$S$2</c:f>
              <c:strCache>
                <c:ptCount val="1"/>
                <c:pt idx="0">
                  <c:v>Cubic Deviation (22)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8.0925196850393701E-3"/>
                  <c:y val="-0.2249143336249635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'McBride Analysis'!$Q$3:$Q$7</c:f>
              <c:numCache>
                <c:formatCode>General</c:formatCode>
                <c:ptCount val="5"/>
                <c:pt idx="0">
                  <c:v>6</c:v>
                </c:pt>
                <c:pt idx="1">
                  <c:v>13</c:v>
                </c:pt>
                <c:pt idx="2">
                  <c:v>18</c:v>
                </c:pt>
                <c:pt idx="3">
                  <c:v>28</c:v>
                </c:pt>
                <c:pt idx="4">
                  <c:v>36</c:v>
                </c:pt>
              </c:numCache>
            </c:numRef>
          </c:xVal>
          <c:yVal>
            <c:numRef>
              <c:f>'McBride Analysis'!$S$3:$S$7</c:f>
              <c:numCache>
                <c:formatCode>General</c:formatCode>
                <c:ptCount val="5"/>
                <c:pt idx="0">
                  <c:v>663055.69999999995</c:v>
                </c:pt>
                <c:pt idx="1">
                  <c:v>2005.2439999999999</c:v>
                </c:pt>
                <c:pt idx="2">
                  <c:v>124.89919999999999</c:v>
                </c:pt>
                <c:pt idx="3">
                  <c:v>2.4843999999999999</c:v>
                </c:pt>
                <c:pt idx="4">
                  <c:v>5.5376000000000003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3CA-4CED-91B8-677E93BDD3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115519"/>
        <c:axId val="463114687"/>
      </c:scatterChart>
      <c:valAx>
        <c:axId val="463115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114687"/>
        <c:crosses val="autoZero"/>
        <c:crossBetween val="midCat"/>
      </c:valAx>
      <c:valAx>
        <c:axId val="463114687"/>
        <c:scaling>
          <c:orientation val="minMax"/>
          <c:max val="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1155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'McBride Analysis'!$I$24</c:f>
              <c:strCache>
                <c:ptCount val="1"/>
                <c:pt idx="0">
                  <c:v>McBride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4244340956556707"/>
                  <c:y val="-0.1780329542140565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0.15293110236220472"/>
                  <c:y val="-0.5674660979877514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1"/>
            <c:dispEq val="1"/>
            <c:trendlineLbl>
              <c:layout>
                <c:manualLayout>
                  <c:x val="-0.13119400699912512"/>
                  <c:y val="-4.308289588801399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'McBride Analysis'!$H$25:$H$33</c:f>
              <c:numCache>
                <c:formatCode>General</c:formatCode>
                <c:ptCount val="9"/>
                <c:pt idx="0">
                  <c:v>17</c:v>
                </c:pt>
                <c:pt idx="1">
                  <c:v>18</c:v>
                </c:pt>
                <c:pt idx="2">
                  <c:v>19</c:v>
                </c:pt>
                <c:pt idx="3">
                  <c:v>20</c:v>
                </c:pt>
                <c:pt idx="4">
                  <c:v>21</c:v>
                </c:pt>
                <c:pt idx="5">
                  <c:v>22</c:v>
                </c:pt>
                <c:pt idx="6">
                  <c:v>23</c:v>
                </c:pt>
                <c:pt idx="7">
                  <c:v>24</c:v>
                </c:pt>
                <c:pt idx="8">
                  <c:v>25</c:v>
                </c:pt>
              </c:numCache>
            </c:numRef>
          </c:xVal>
          <c:yVal>
            <c:numRef>
              <c:f>'McBride Analysis'!$I$25:$I$33</c:f>
              <c:numCache>
                <c:formatCode>General</c:formatCode>
                <c:ptCount val="9"/>
                <c:pt idx="0">
                  <c:v>110.34</c:v>
                </c:pt>
                <c:pt idx="1">
                  <c:v>109.59</c:v>
                </c:pt>
                <c:pt idx="2">
                  <c:v>109.18</c:v>
                </c:pt>
                <c:pt idx="3">
                  <c:v>107.48</c:v>
                </c:pt>
                <c:pt idx="4">
                  <c:v>107.47</c:v>
                </c:pt>
                <c:pt idx="5">
                  <c:v>105.65</c:v>
                </c:pt>
                <c:pt idx="6">
                  <c:v>105.83</c:v>
                </c:pt>
                <c:pt idx="7">
                  <c:v>105.92</c:v>
                </c:pt>
                <c:pt idx="8">
                  <c:v>105.07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72-4E77-9D63-95BA5EDCE8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0838895"/>
        <c:axId val="300839311"/>
      </c:scatterChart>
      <c:valAx>
        <c:axId val="300838895"/>
        <c:scaling>
          <c:orientation val="minMax"/>
          <c:min val="1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839311"/>
        <c:crosses val="autoZero"/>
        <c:crossBetween val="midCat"/>
      </c:valAx>
      <c:valAx>
        <c:axId val="300839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8388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Absolute Deviation of Curves of Best Fit (Extrapolation)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'McBride Analysis'!$U$2</c:f>
              <c:strCache>
                <c:ptCount val="1"/>
                <c:pt idx="0">
                  <c:v>Quadratic Deviation (29)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5.0797025371828522E-2"/>
                  <c:y val="-0.4147291484397783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'McBride Analysis'!$Q$3:$Q$9</c:f>
              <c:numCache>
                <c:formatCode>General</c:formatCode>
                <c:ptCount val="7"/>
                <c:pt idx="0">
                  <c:v>6</c:v>
                </c:pt>
                <c:pt idx="1">
                  <c:v>13</c:v>
                </c:pt>
                <c:pt idx="2">
                  <c:v>18</c:v>
                </c:pt>
                <c:pt idx="3">
                  <c:v>28</c:v>
                </c:pt>
                <c:pt idx="4">
                  <c:v>36</c:v>
                </c:pt>
                <c:pt idx="5">
                  <c:v>50</c:v>
                </c:pt>
                <c:pt idx="6">
                  <c:v>61</c:v>
                </c:pt>
              </c:numCache>
            </c:numRef>
          </c:xVal>
          <c:yVal>
            <c:numRef>
              <c:f>'McBride Analysis'!$U$3:$U$9</c:f>
              <c:numCache>
                <c:formatCode>General</c:formatCode>
                <c:ptCount val="7"/>
                <c:pt idx="0">
                  <c:v>23417.43</c:v>
                </c:pt>
                <c:pt idx="1">
                  <c:v>943.02549999999997</c:v>
                </c:pt>
                <c:pt idx="2">
                  <c:v>11.1792</c:v>
                </c:pt>
                <c:pt idx="3">
                  <c:v>24.7926</c:v>
                </c:pt>
                <c:pt idx="4">
                  <c:v>5.0259999999999998</c:v>
                </c:pt>
                <c:pt idx="5">
                  <c:v>10.5853</c:v>
                </c:pt>
                <c:pt idx="6">
                  <c:v>2.7231000000000001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BE-4F8E-8BC0-8C3BCFAA9BDC}"/>
            </c:ext>
          </c:extLst>
        </c:ser>
        <c:ser>
          <c:idx val="1"/>
          <c:order val="1"/>
          <c:tx>
            <c:strRef>
              <c:f>'McBride Analysis'!$V$2</c:f>
              <c:strCache>
                <c:ptCount val="1"/>
                <c:pt idx="0">
                  <c:v>Cubic Deviation (29)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20110564304461942"/>
                  <c:y val="-0.4147291484397783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'McBride Analysis'!$Q$3:$Q$9</c:f>
              <c:numCache>
                <c:formatCode>General</c:formatCode>
                <c:ptCount val="7"/>
                <c:pt idx="0">
                  <c:v>6</c:v>
                </c:pt>
                <c:pt idx="1">
                  <c:v>13</c:v>
                </c:pt>
                <c:pt idx="2">
                  <c:v>18</c:v>
                </c:pt>
                <c:pt idx="3">
                  <c:v>28</c:v>
                </c:pt>
                <c:pt idx="4">
                  <c:v>36</c:v>
                </c:pt>
                <c:pt idx="5">
                  <c:v>50</c:v>
                </c:pt>
                <c:pt idx="6">
                  <c:v>61</c:v>
                </c:pt>
              </c:numCache>
            </c:numRef>
          </c:xVal>
          <c:yVal>
            <c:numRef>
              <c:f>'McBride Analysis'!$V$3:$V$9</c:f>
              <c:numCache>
                <c:formatCode>General</c:formatCode>
                <c:ptCount val="7"/>
                <c:pt idx="0">
                  <c:v>4030922.1</c:v>
                </c:pt>
                <c:pt idx="1">
                  <c:v>320007.94199999998</c:v>
                </c:pt>
                <c:pt idx="2">
                  <c:v>2919.9031</c:v>
                </c:pt>
                <c:pt idx="3">
                  <c:v>57.279600000000002</c:v>
                </c:pt>
                <c:pt idx="4">
                  <c:v>180.7713</c:v>
                </c:pt>
                <c:pt idx="5">
                  <c:v>29.055900000000001</c:v>
                </c:pt>
                <c:pt idx="6">
                  <c:v>18.304099999999998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BE-4F8E-8BC0-8C3BCFAA9B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7761343"/>
        <c:axId val="297761759"/>
      </c:scatterChart>
      <c:valAx>
        <c:axId val="297761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761759"/>
        <c:crosses val="autoZero"/>
        <c:crossBetween val="midCat"/>
      </c:valAx>
      <c:valAx>
        <c:axId val="297761759"/>
        <c:scaling>
          <c:orientation val="minMax"/>
          <c:max val="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7613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 vs Race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'Rudisha Analysis'!$D$1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51612316963669014"/>
                  <c:y val="-0.5828944298629338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8.021279412441866E-2"/>
                  <c:y val="-0.6084558180227471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'Rudisha Analysis'!$C$2:$C$110</c:f>
              <c:numCache>
                <c:formatCode>General</c:formatCode>
                <c:ptCount val="109"/>
                <c:pt idx="0">
                  <c:v>16.492813141683779</c:v>
                </c:pt>
                <c:pt idx="1">
                  <c:v>17.535934291581111</c:v>
                </c:pt>
                <c:pt idx="2">
                  <c:v>17.593429158110883</c:v>
                </c:pt>
                <c:pt idx="3">
                  <c:v>17.659137577002053</c:v>
                </c:pt>
                <c:pt idx="4">
                  <c:v>17.661875427789184</c:v>
                </c:pt>
                <c:pt idx="5">
                  <c:v>17.66735112936345</c:v>
                </c:pt>
                <c:pt idx="6">
                  <c:v>18.395619438740589</c:v>
                </c:pt>
                <c:pt idx="7">
                  <c:v>18.488706365503081</c:v>
                </c:pt>
                <c:pt idx="8">
                  <c:v>18.537987679671456</c:v>
                </c:pt>
                <c:pt idx="9">
                  <c:v>18.559890485968516</c:v>
                </c:pt>
                <c:pt idx="10">
                  <c:v>18.647501711156742</c:v>
                </c:pt>
                <c:pt idx="11">
                  <c:v>18.650239561943874</c:v>
                </c:pt>
                <c:pt idx="12">
                  <c:v>18.721423682409309</c:v>
                </c:pt>
                <c:pt idx="13">
                  <c:v>18.740588637919235</c:v>
                </c:pt>
                <c:pt idx="14">
                  <c:v>19.318275154004105</c:v>
                </c:pt>
                <c:pt idx="15">
                  <c:v>19.3347022587269</c:v>
                </c:pt>
                <c:pt idx="16">
                  <c:v>19.337440109514031</c:v>
                </c:pt>
                <c:pt idx="17">
                  <c:v>19.367556468172484</c:v>
                </c:pt>
                <c:pt idx="18">
                  <c:v>19.370294318959616</c:v>
                </c:pt>
                <c:pt idx="19">
                  <c:v>19.37303216974675</c:v>
                </c:pt>
                <c:pt idx="20">
                  <c:v>19.392197125256672</c:v>
                </c:pt>
                <c:pt idx="21">
                  <c:v>19.468856947296374</c:v>
                </c:pt>
                <c:pt idx="22">
                  <c:v>19.485284052019164</c:v>
                </c:pt>
                <c:pt idx="23">
                  <c:v>20.388774811772759</c:v>
                </c:pt>
                <c:pt idx="24">
                  <c:v>20.454483230663929</c:v>
                </c:pt>
                <c:pt idx="25">
                  <c:v>20.498288843258042</c:v>
                </c:pt>
                <c:pt idx="26">
                  <c:v>20.525667351129364</c:v>
                </c:pt>
                <c:pt idx="27">
                  <c:v>20.602327173169062</c:v>
                </c:pt>
                <c:pt idx="28">
                  <c:v>20.673511293634498</c:v>
                </c:pt>
                <c:pt idx="29">
                  <c:v>20.676249144421629</c:v>
                </c:pt>
                <c:pt idx="30">
                  <c:v>20.695414099931554</c:v>
                </c:pt>
                <c:pt idx="31">
                  <c:v>20.714579055441479</c:v>
                </c:pt>
                <c:pt idx="32">
                  <c:v>20.720054757015742</c:v>
                </c:pt>
                <c:pt idx="33">
                  <c:v>20.736481861738536</c:v>
                </c:pt>
                <c:pt idx="34">
                  <c:v>21.21013004791239</c:v>
                </c:pt>
                <c:pt idx="35">
                  <c:v>21.404517453798768</c:v>
                </c:pt>
                <c:pt idx="36">
                  <c:v>21.440109514031484</c:v>
                </c:pt>
                <c:pt idx="37">
                  <c:v>21.462012320328544</c:v>
                </c:pt>
                <c:pt idx="38">
                  <c:v>21.516769336071185</c:v>
                </c:pt>
                <c:pt idx="39">
                  <c:v>21.519507186858316</c:v>
                </c:pt>
                <c:pt idx="40">
                  <c:v>21.522245037645447</c:v>
                </c:pt>
                <c:pt idx="41">
                  <c:v>21.555099247091032</c:v>
                </c:pt>
                <c:pt idx="42">
                  <c:v>21.560574948665298</c:v>
                </c:pt>
                <c:pt idx="43">
                  <c:v>21.609856262833677</c:v>
                </c:pt>
                <c:pt idx="44">
                  <c:v>21.612594113620808</c:v>
                </c:pt>
                <c:pt idx="45">
                  <c:v>21.61533196440794</c:v>
                </c:pt>
                <c:pt idx="46">
                  <c:v>21.678302532511978</c:v>
                </c:pt>
                <c:pt idx="47">
                  <c:v>21.691991786447637</c:v>
                </c:pt>
                <c:pt idx="48">
                  <c:v>21.697467488021903</c:v>
                </c:pt>
                <c:pt idx="49">
                  <c:v>21.716632443531829</c:v>
                </c:pt>
                <c:pt idx="50">
                  <c:v>22.206707734428473</c:v>
                </c:pt>
                <c:pt idx="51">
                  <c:v>22.250513347022586</c:v>
                </c:pt>
                <c:pt idx="52">
                  <c:v>22.5160848733744</c:v>
                </c:pt>
                <c:pt idx="53">
                  <c:v>22.532511978097194</c:v>
                </c:pt>
                <c:pt idx="54">
                  <c:v>22.570841889117045</c:v>
                </c:pt>
                <c:pt idx="55">
                  <c:v>22.570841889117045</c:v>
                </c:pt>
                <c:pt idx="56">
                  <c:v>22.576317590691307</c:v>
                </c:pt>
                <c:pt idx="57">
                  <c:v>22.592744695414101</c:v>
                </c:pt>
                <c:pt idx="58">
                  <c:v>22.631074606433948</c:v>
                </c:pt>
                <c:pt idx="59">
                  <c:v>22.691307323750856</c:v>
                </c:pt>
                <c:pt idx="60">
                  <c:v>22.694045174537987</c:v>
                </c:pt>
                <c:pt idx="61">
                  <c:v>22.699520876112253</c:v>
                </c:pt>
                <c:pt idx="62">
                  <c:v>22.729637234770706</c:v>
                </c:pt>
                <c:pt idx="63">
                  <c:v>22.746064339493497</c:v>
                </c:pt>
                <c:pt idx="64">
                  <c:v>22.751540041067763</c:v>
                </c:pt>
                <c:pt idx="65">
                  <c:v>23.208761122518823</c:v>
                </c:pt>
                <c:pt idx="66">
                  <c:v>23.397672826830938</c:v>
                </c:pt>
                <c:pt idx="67">
                  <c:v>23.477070499657767</c:v>
                </c:pt>
                <c:pt idx="68">
                  <c:v>23.515400410677618</c:v>
                </c:pt>
                <c:pt idx="69">
                  <c:v>23.550992470910334</c:v>
                </c:pt>
                <c:pt idx="70">
                  <c:v>23.635865845311429</c:v>
                </c:pt>
                <c:pt idx="71">
                  <c:v>23.638603696098563</c:v>
                </c:pt>
                <c:pt idx="72">
                  <c:v>23.644079397672826</c:v>
                </c:pt>
                <c:pt idx="73">
                  <c:v>23.701574264202602</c:v>
                </c:pt>
                <c:pt idx="74">
                  <c:v>24.394250513347021</c:v>
                </c:pt>
                <c:pt idx="75">
                  <c:v>24.435318275154003</c:v>
                </c:pt>
                <c:pt idx="76">
                  <c:v>25.451060917180012</c:v>
                </c:pt>
                <c:pt idx="77">
                  <c:v>25.489390828199863</c:v>
                </c:pt>
                <c:pt idx="78">
                  <c:v>25.566050650239561</c:v>
                </c:pt>
                <c:pt idx="79">
                  <c:v>25.582477754962355</c:v>
                </c:pt>
                <c:pt idx="80">
                  <c:v>25.612594113620808</c:v>
                </c:pt>
                <c:pt idx="81">
                  <c:v>25.61533196440794</c:v>
                </c:pt>
                <c:pt idx="82">
                  <c:v>25.618069815195071</c:v>
                </c:pt>
                <c:pt idx="83">
                  <c:v>25.694729637234772</c:v>
                </c:pt>
                <c:pt idx="84">
                  <c:v>26.236824093086927</c:v>
                </c:pt>
                <c:pt idx="85">
                  <c:v>26.255989048596852</c:v>
                </c:pt>
                <c:pt idx="86">
                  <c:v>26.48596851471595</c:v>
                </c:pt>
                <c:pt idx="87">
                  <c:v>26.557152635181382</c:v>
                </c:pt>
                <c:pt idx="88">
                  <c:v>26.600958247775495</c:v>
                </c:pt>
                <c:pt idx="89">
                  <c:v>26.617385352498289</c:v>
                </c:pt>
                <c:pt idx="90">
                  <c:v>26.62012320328542</c:v>
                </c:pt>
                <c:pt idx="91">
                  <c:v>26.677618069815196</c:v>
                </c:pt>
                <c:pt idx="92">
                  <c:v>26.680355920602327</c:v>
                </c:pt>
                <c:pt idx="93">
                  <c:v>26.68583162217659</c:v>
                </c:pt>
                <c:pt idx="94">
                  <c:v>26.710472279260781</c:v>
                </c:pt>
                <c:pt idx="95">
                  <c:v>27.214236824093089</c:v>
                </c:pt>
                <c:pt idx="96">
                  <c:v>27.23340177960301</c:v>
                </c:pt>
                <c:pt idx="97">
                  <c:v>27.405886379192335</c:v>
                </c:pt>
                <c:pt idx="98">
                  <c:v>27.496235455167692</c:v>
                </c:pt>
                <c:pt idx="99">
                  <c:v>27.534565366187543</c:v>
                </c:pt>
                <c:pt idx="100">
                  <c:v>27.537303216974674</c:v>
                </c:pt>
                <c:pt idx="101">
                  <c:v>27.583846680355922</c:v>
                </c:pt>
                <c:pt idx="102">
                  <c:v>27.652292950034223</c:v>
                </c:pt>
                <c:pt idx="103">
                  <c:v>27.655030800821354</c:v>
                </c:pt>
                <c:pt idx="104">
                  <c:v>27.66050650239562</c:v>
                </c:pt>
                <c:pt idx="105">
                  <c:v>27.71252566735113</c:v>
                </c:pt>
                <c:pt idx="106">
                  <c:v>28.402464065708418</c:v>
                </c:pt>
                <c:pt idx="107">
                  <c:v>28.479123887748116</c:v>
                </c:pt>
                <c:pt idx="108">
                  <c:v>28.544832306639289</c:v>
                </c:pt>
              </c:numCache>
            </c:numRef>
          </c:xVal>
          <c:yVal>
            <c:numRef>
              <c:f>'Rudisha Analysis'!$D$2:$D$110</c:f>
              <c:numCache>
                <c:formatCode>_(* #,##0.00_);_(* \(#,##0.00\);_(* "-"??_);_(@_)</c:formatCode>
                <c:ptCount val="109"/>
                <c:pt idx="0">
                  <c:v>111.2</c:v>
                </c:pt>
                <c:pt idx="1">
                  <c:v>106.3</c:v>
                </c:pt>
                <c:pt idx="2">
                  <c:v>107.5</c:v>
                </c:pt>
                <c:pt idx="3">
                  <c:v>109.12</c:v>
                </c:pt>
                <c:pt idx="4">
                  <c:v>107.24</c:v>
                </c:pt>
                <c:pt idx="5">
                  <c:v>107.4</c:v>
                </c:pt>
                <c:pt idx="6">
                  <c:v>105.63</c:v>
                </c:pt>
                <c:pt idx="7">
                  <c:v>107.3</c:v>
                </c:pt>
                <c:pt idx="8">
                  <c:v>105.1</c:v>
                </c:pt>
                <c:pt idx="9">
                  <c:v>105.82</c:v>
                </c:pt>
                <c:pt idx="10">
                  <c:v>108.09</c:v>
                </c:pt>
                <c:pt idx="11">
                  <c:v>106.41</c:v>
                </c:pt>
                <c:pt idx="12">
                  <c:v>105.51</c:v>
                </c:pt>
                <c:pt idx="13">
                  <c:v>104.15</c:v>
                </c:pt>
                <c:pt idx="14">
                  <c:v>107</c:v>
                </c:pt>
                <c:pt idx="15">
                  <c:v>107.9</c:v>
                </c:pt>
                <c:pt idx="16">
                  <c:v>104.38</c:v>
                </c:pt>
                <c:pt idx="17">
                  <c:v>112.93</c:v>
                </c:pt>
                <c:pt idx="18">
                  <c:v>108.82</c:v>
                </c:pt>
                <c:pt idx="19">
                  <c:v>104.2</c:v>
                </c:pt>
                <c:pt idx="20">
                  <c:v>104.36</c:v>
                </c:pt>
                <c:pt idx="21">
                  <c:v>103.72</c:v>
                </c:pt>
                <c:pt idx="22">
                  <c:v>104.47</c:v>
                </c:pt>
                <c:pt idx="23">
                  <c:v>104.78</c:v>
                </c:pt>
                <c:pt idx="24">
                  <c:v>103.53</c:v>
                </c:pt>
                <c:pt idx="25">
                  <c:v>104.09</c:v>
                </c:pt>
                <c:pt idx="26">
                  <c:v>107.1</c:v>
                </c:pt>
                <c:pt idx="27">
                  <c:v>107</c:v>
                </c:pt>
                <c:pt idx="28">
                  <c:v>107.83</c:v>
                </c:pt>
                <c:pt idx="29">
                  <c:v>105.4</c:v>
                </c:pt>
                <c:pt idx="30">
                  <c:v>103.52</c:v>
                </c:pt>
                <c:pt idx="31">
                  <c:v>105.8</c:v>
                </c:pt>
                <c:pt idx="32">
                  <c:v>102.01</c:v>
                </c:pt>
                <c:pt idx="33">
                  <c:v>104.85</c:v>
                </c:pt>
                <c:pt idx="34">
                  <c:v>103.15</c:v>
                </c:pt>
                <c:pt idx="35">
                  <c:v>103</c:v>
                </c:pt>
                <c:pt idx="36">
                  <c:v>104.03</c:v>
                </c:pt>
                <c:pt idx="37">
                  <c:v>102.04</c:v>
                </c:pt>
                <c:pt idx="38">
                  <c:v>106.1</c:v>
                </c:pt>
                <c:pt idx="39">
                  <c:v>105.51</c:v>
                </c:pt>
                <c:pt idx="40">
                  <c:v>104.23</c:v>
                </c:pt>
                <c:pt idx="41">
                  <c:v>103.25</c:v>
                </c:pt>
                <c:pt idx="42">
                  <c:v>101.51</c:v>
                </c:pt>
                <c:pt idx="43">
                  <c:v>110.51</c:v>
                </c:pt>
                <c:pt idx="44">
                  <c:v>106.58</c:v>
                </c:pt>
                <c:pt idx="45">
                  <c:v>102.84</c:v>
                </c:pt>
                <c:pt idx="46">
                  <c:v>101.09</c:v>
                </c:pt>
                <c:pt idx="47">
                  <c:v>103.5</c:v>
                </c:pt>
                <c:pt idx="48">
                  <c:v>101.01</c:v>
                </c:pt>
                <c:pt idx="49">
                  <c:v>103.37</c:v>
                </c:pt>
                <c:pt idx="50">
                  <c:v>103.88</c:v>
                </c:pt>
                <c:pt idx="51">
                  <c:v>104.8</c:v>
                </c:pt>
                <c:pt idx="52">
                  <c:v>103.46</c:v>
                </c:pt>
                <c:pt idx="53">
                  <c:v>104.15</c:v>
                </c:pt>
                <c:pt idx="54">
                  <c:v>106.7</c:v>
                </c:pt>
                <c:pt idx="55">
                  <c:v>105.3</c:v>
                </c:pt>
                <c:pt idx="56">
                  <c:v>103.76</c:v>
                </c:pt>
                <c:pt idx="57">
                  <c:v>102.61</c:v>
                </c:pt>
                <c:pt idx="58">
                  <c:v>102.91</c:v>
                </c:pt>
                <c:pt idx="59">
                  <c:v>106.29</c:v>
                </c:pt>
                <c:pt idx="60">
                  <c:v>104.2</c:v>
                </c:pt>
                <c:pt idx="61">
                  <c:v>103.91</c:v>
                </c:pt>
                <c:pt idx="62">
                  <c:v>101.33</c:v>
                </c:pt>
                <c:pt idx="63">
                  <c:v>103.96</c:v>
                </c:pt>
                <c:pt idx="64">
                  <c:v>103.57</c:v>
                </c:pt>
                <c:pt idx="65">
                  <c:v>104.33</c:v>
                </c:pt>
                <c:pt idx="66">
                  <c:v>103.1</c:v>
                </c:pt>
                <c:pt idx="67">
                  <c:v>101.74</c:v>
                </c:pt>
                <c:pt idx="68">
                  <c:v>102.12</c:v>
                </c:pt>
                <c:pt idx="69">
                  <c:v>101.54</c:v>
                </c:pt>
                <c:pt idx="70">
                  <c:v>105.9</c:v>
                </c:pt>
                <c:pt idx="71">
                  <c:v>104.35</c:v>
                </c:pt>
                <c:pt idx="72">
                  <c:v>100.91</c:v>
                </c:pt>
                <c:pt idx="73">
                  <c:v>102.81</c:v>
                </c:pt>
                <c:pt idx="74">
                  <c:v>103.87</c:v>
                </c:pt>
                <c:pt idx="75">
                  <c:v>105.14</c:v>
                </c:pt>
                <c:pt idx="76">
                  <c:v>104.87</c:v>
                </c:pt>
                <c:pt idx="77">
                  <c:v>104.63</c:v>
                </c:pt>
                <c:pt idx="78">
                  <c:v>103.34</c:v>
                </c:pt>
                <c:pt idx="79">
                  <c:v>102.98</c:v>
                </c:pt>
                <c:pt idx="80">
                  <c:v>106.89</c:v>
                </c:pt>
                <c:pt idx="81">
                  <c:v>106.61</c:v>
                </c:pt>
                <c:pt idx="82">
                  <c:v>105.48</c:v>
                </c:pt>
                <c:pt idx="83">
                  <c:v>103.96</c:v>
                </c:pt>
                <c:pt idx="84">
                  <c:v>105.01</c:v>
                </c:pt>
                <c:pt idx="85">
                  <c:v>104.94</c:v>
                </c:pt>
                <c:pt idx="86">
                  <c:v>103.58</c:v>
                </c:pt>
                <c:pt idx="87">
                  <c:v>103.76</c:v>
                </c:pt>
                <c:pt idx="88">
                  <c:v>104.67</c:v>
                </c:pt>
                <c:pt idx="89">
                  <c:v>104.2</c:v>
                </c:pt>
                <c:pt idx="90">
                  <c:v>103.89</c:v>
                </c:pt>
                <c:pt idx="91">
                  <c:v>108.31</c:v>
                </c:pt>
                <c:pt idx="92">
                  <c:v>107.7</c:v>
                </c:pt>
                <c:pt idx="93">
                  <c:v>105.84</c:v>
                </c:pt>
                <c:pt idx="94">
                  <c:v>105.91</c:v>
                </c:pt>
                <c:pt idx="95">
                  <c:v>104.78</c:v>
                </c:pt>
                <c:pt idx="96">
                  <c:v>104.89</c:v>
                </c:pt>
                <c:pt idx="97">
                  <c:v>106.24</c:v>
                </c:pt>
                <c:pt idx="98">
                  <c:v>105.69</c:v>
                </c:pt>
                <c:pt idx="99">
                  <c:v>103.4</c:v>
                </c:pt>
                <c:pt idx="100">
                  <c:v>104.23</c:v>
                </c:pt>
                <c:pt idx="101">
                  <c:v>103.35</c:v>
                </c:pt>
                <c:pt idx="102">
                  <c:v>105.09</c:v>
                </c:pt>
                <c:pt idx="103">
                  <c:v>103.88</c:v>
                </c:pt>
                <c:pt idx="104">
                  <c:v>102.15</c:v>
                </c:pt>
                <c:pt idx="105">
                  <c:v>103.31</c:v>
                </c:pt>
                <c:pt idx="106">
                  <c:v>105.36</c:v>
                </c:pt>
                <c:pt idx="107">
                  <c:v>104.9</c:v>
                </c:pt>
                <c:pt idx="108">
                  <c:v>104.9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C6-454F-B99D-28CDFA3248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046063"/>
        <c:axId val="472048975"/>
      </c:scatterChart>
      <c:valAx>
        <c:axId val="472046063"/>
        <c:scaling>
          <c:orientation val="minMax"/>
          <c:min val="1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048975"/>
        <c:crosses val="autoZero"/>
        <c:crossBetween val="midCat"/>
      </c:valAx>
      <c:valAx>
        <c:axId val="472048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0460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'Rudisha Analysis'!$I$24</c:f>
              <c:strCache>
                <c:ptCount val="1"/>
                <c:pt idx="0">
                  <c:v>Rudisha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2790507436570426"/>
                  <c:y val="1.89176873724117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18380796150481191"/>
                  <c:y val="-0.174554534849810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1"/>
            <c:dispEq val="1"/>
            <c:trendlineLbl>
              <c:layout>
                <c:manualLayout>
                  <c:x val="-0.12650831146106736"/>
                  <c:y val="-0.4544039807524059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'Rudisha Analysis'!$H$25:$H$37</c:f>
              <c:numCache>
                <c:formatCode>General</c:formatCode>
                <c:ptCount val="13"/>
                <c:pt idx="0">
                  <c:v>17</c:v>
                </c:pt>
                <c:pt idx="1">
                  <c:v>18</c:v>
                </c:pt>
                <c:pt idx="2">
                  <c:v>19</c:v>
                </c:pt>
                <c:pt idx="3">
                  <c:v>20</c:v>
                </c:pt>
                <c:pt idx="4">
                  <c:v>21</c:v>
                </c:pt>
                <c:pt idx="5">
                  <c:v>22</c:v>
                </c:pt>
                <c:pt idx="6">
                  <c:v>23</c:v>
                </c:pt>
                <c:pt idx="7">
                  <c:v>24</c:v>
                </c:pt>
                <c:pt idx="8">
                  <c:v>25</c:v>
                </c:pt>
                <c:pt idx="9">
                  <c:v>26</c:v>
                </c:pt>
                <c:pt idx="10">
                  <c:v>27</c:v>
                </c:pt>
                <c:pt idx="11">
                  <c:v>28</c:v>
                </c:pt>
                <c:pt idx="12">
                  <c:v>29</c:v>
                </c:pt>
              </c:numCache>
            </c:numRef>
          </c:xVal>
          <c:yVal>
            <c:numRef>
              <c:f>'Rudisha Analysis'!$I$25:$I$37</c:f>
              <c:numCache>
                <c:formatCode>0.00</c:formatCode>
                <c:ptCount val="13"/>
                <c:pt idx="0">
                  <c:v>111.2</c:v>
                </c:pt>
                <c:pt idx="1">
                  <c:v>107.51</c:v>
                </c:pt>
                <c:pt idx="2">
                  <c:v>106</c:v>
                </c:pt>
                <c:pt idx="3">
                  <c:v>106.42</c:v>
                </c:pt>
                <c:pt idx="4">
                  <c:v>105.08</c:v>
                </c:pt>
                <c:pt idx="5">
                  <c:v>103.86</c:v>
                </c:pt>
                <c:pt idx="6">
                  <c:v>104.06</c:v>
                </c:pt>
                <c:pt idx="7">
                  <c:v>102.98</c:v>
                </c:pt>
                <c:pt idx="8">
                  <c:v>104.51</c:v>
                </c:pt>
                <c:pt idx="9">
                  <c:v>104.85</c:v>
                </c:pt>
                <c:pt idx="10">
                  <c:v>105.26</c:v>
                </c:pt>
                <c:pt idx="11">
                  <c:v>104.27</c:v>
                </c:pt>
                <c:pt idx="12">
                  <c:v>105.05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FD-4233-BE91-6770A486A2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342639"/>
        <c:axId val="469343055"/>
      </c:scatterChart>
      <c:valAx>
        <c:axId val="469342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343055"/>
        <c:crosses val="autoZero"/>
        <c:crossBetween val="midCat"/>
      </c:valAx>
      <c:valAx>
        <c:axId val="469343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342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Absolute Deviation of Curves of Best Fit (Interpolation)</a:t>
            </a:r>
          </a:p>
        </c:rich>
      </c:tx>
      <c:layout>
        <c:manualLayout>
          <c:xMode val="edge"/>
          <c:yMode val="edge"/>
          <c:x val="0.177388888888888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'Rudisha Analysis'!$R$2</c:f>
              <c:strCache>
                <c:ptCount val="1"/>
                <c:pt idx="0">
                  <c:v>Quadratic Deviation (28)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5.4287401574803149E-2"/>
                  <c:y val="-0.317506926217556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'Rudisha Analysis'!$Q$3:$Q$14</c:f>
              <c:numCache>
                <c:formatCode>General</c:formatCode>
                <c:ptCount val="12"/>
                <c:pt idx="0">
                  <c:v>6</c:v>
                </c:pt>
                <c:pt idx="1">
                  <c:v>14</c:v>
                </c:pt>
                <c:pt idx="2">
                  <c:v>23</c:v>
                </c:pt>
                <c:pt idx="3">
                  <c:v>34</c:v>
                </c:pt>
                <c:pt idx="4">
                  <c:v>50</c:v>
                </c:pt>
                <c:pt idx="5">
                  <c:v>65</c:v>
                </c:pt>
                <c:pt idx="6">
                  <c:v>74</c:v>
                </c:pt>
                <c:pt idx="7">
                  <c:v>76</c:v>
                </c:pt>
                <c:pt idx="8">
                  <c:v>84</c:v>
                </c:pt>
                <c:pt idx="9">
                  <c:v>95</c:v>
                </c:pt>
                <c:pt idx="10">
                  <c:v>106</c:v>
                </c:pt>
                <c:pt idx="11">
                  <c:v>109</c:v>
                </c:pt>
              </c:numCache>
            </c:numRef>
          </c:xVal>
          <c:yVal>
            <c:numRef>
              <c:f>'Rudisha Analysis'!$R$3:$R$14</c:f>
              <c:numCache>
                <c:formatCode>General</c:formatCode>
                <c:ptCount val="12"/>
                <c:pt idx="0">
                  <c:v>1537.6859999999999</c:v>
                </c:pt>
                <c:pt idx="1">
                  <c:v>54.408799999999999</c:v>
                </c:pt>
                <c:pt idx="2">
                  <c:v>72.6648</c:v>
                </c:pt>
                <c:pt idx="3">
                  <c:v>13.106</c:v>
                </c:pt>
                <c:pt idx="4">
                  <c:v>2.758</c:v>
                </c:pt>
                <c:pt idx="5">
                  <c:v>1.9044000000000001</c:v>
                </c:pt>
                <c:pt idx="6">
                  <c:v>1.2436</c:v>
                </c:pt>
                <c:pt idx="7">
                  <c:v>0.36480000000000001</c:v>
                </c:pt>
                <c:pt idx="8">
                  <c:v>2.4803999999999999</c:v>
                </c:pt>
                <c:pt idx="9">
                  <c:v>2.3883999999999999</c:v>
                </c:pt>
                <c:pt idx="10">
                  <c:v>0.92479999999999996</c:v>
                </c:pt>
                <c:pt idx="11">
                  <c:v>0.71879999999999999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07-41E2-9F62-5C64D328BB15}"/>
            </c:ext>
          </c:extLst>
        </c:ser>
        <c:ser>
          <c:idx val="1"/>
          <c:order val="1"/>
          <c:tx>
            <c:strRef>
              <c:f>'Rudisha Analysis'!$S$2</c:f>
              <c:strCache>
                <c:ptCount val="1"/>
                <c:pt idx="0">
                  <c:v>Cubic Deviation (28)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300162510936133"/>
                  <c:y val="-0.317506926217556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'Rudisha Analysis'!$Q$3:$Q$14</c:f>
              <c:numCache>
                <c:formatCode>General</c:formatCode>
                <c:ptCount val="12"/>
                <c:pt idx="0">
                  <c:v>6</c:v>
                </c:pt>
                <c:pt idx="1">
                  <c:v>14</c:v>
                </c:pt>
                <c:pt idx="2">
                  <c:v>23</c:v>
                </c:pt>
                <c:pt idx="3">
                  <c:v>34</c:v>
                </c:pt>
                <c:pt idx="4">
                  <c:v>50</c:v>
                </c:pt>
                <c:pt idx="5">
                  <c:v>65</c:v>
                </c:pt>
                <c:pt idx="6">
                  <c:v>74</c:v>
                </c:pt>
                <c:pt idx="7">
                  <c:v>76</c:v>
                </c:pt>
                <c:pt idx="8">
                  <c:v>84</c:v>
                </c:pt>
                <c:pt idx="9">
                  <c:v>95</c:v>
                </c:pt>
                <c:pt idx="10">
                  <c:v>106</c:v>
                </c:pt>
                <c:pt idx="11">
                  <c:v>109</c:v>
                </c:pt>
              </c:numCache>
            </c:numRef>
          </c:xVal>
          <c:yVal>
            <c:numRef>
              <c:f>'Rudisha Analysis'!$S$3:$S$14</c:f>
              <c:numCache>
                <c:formatCode>General</c:formatCode>
                <c:ptCount val="12"/>
                <c:pt idx="0">
                  <c:v>216447.41</c:v>
                </c:pt>
                <c:pt idx="1">
                  <c:v>1766.4724000000001</c:v>
                </c:pt>
                <c:pt idx="2">
                  <c:v>93.044399999999996</c:v>
                </c:pt>
                <c:pt idx="3">
                  <c:v>180.0652</c:v>
                </c:pt>
                <c:pt idx="4">
                  <c:v>86.697999999999993</c:v>
                </c:pt>
                <c:pt idx="5">
                  <c:v>4.3727999999999998</c:v>
                </c:pt>
                <c:pt idx="6">
                  <c:v>10.9132</c:v>
                </c:pt>
                <c:pt idx="7">
                  <c:v>0.58479999999999999</c:v>
                </c:pt>
                <c:pt idx="8">
                  <c:v>3.8730000000000002</c:v>
                </c:pt>
                <c:pt idx="9">
                  <c:v>2.9163999999999999</c:v>
                </c:pt>
                <c:pt idx="10">
                  <c:v>0.2104</c:v>
                </c:pt>
                <c:pt idx="11">
                  <c:v>0.67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07-41E2-9F62-5C64D328BB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204687"/>
        <c:axId val="503200111"/>
      </c:scatterChart>
      <c:valAx>
        <c:axId val="503204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200111"/>
        <c:crosses val="autoZero"/>
        <c:crossBetween val="midCat"/>
      </c:valAx>
      <c:valAx>
        <c:axId val="503200111"/>
        <c:scaling>
          <c:orientation val="minMax"/>
          <c:max val="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2046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baseline="0">
                <a:effectLst/>
              </a:rPr>
              <a:t>Absolute Deviation of Curves of Best Fit (Extrapolation)</a:t>
            </a:r>
            <a:endParaRPr lang="en-CA" sz="1400">
              <a:effectLst/>
            </a:endParaRPr>
          </a:p>
        </c:rich>
      </c:tx>
      <c:layout>
        <c:manualLayout>
          <c:xMode val="edge"/>
          <c:yMode val="edge"/>
          <c:x val="0.1224652230971128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'Rudisha Analysis'!$U$2</c:f>
              <c:strCache>
                <c:ptCount val="1"/>
                <c:pt idx="0">
                  <c:v>Quadratic Deviation (33)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24873184601924758"/>
                  <c:y val="-0.2573217410323709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'Rudisha Analysis'!$Q$3:$Q$14</c:f>
              <c:numCache>
                <c:formatCode>General</c:formatCode>
                <c:ptCount val="12"/>
                <c:pt idx="0">
                  <c:v>6</c:v>
                </c:pt>
                <c:pt idx="1">
                  <c:v>14</c:v>
                </c:pt>
                <c:pt idx="2">
                  <c:v>23</c:v>
                </c:pt>
                <c:pt idx="3">
                  <c:v>34</c:v>
                </c:pt>
                <c:pt idx="4">
                  <c:v>50</c:v>
                </c:pt>
                <c:pt idx="5">
                  <c:v>65</c:v>
                </c:pt>
                <c:pt idx="6">
                  <c:v>74</c:v>
                </c:pt>
                <c:pt idx="7">
                  <c:v>76</c:v>
                </c:pt>
                <c:pt idx="8">
                  <c:v>84</c:v>
                </c:pt>
                <c:pt idx="9">
                  <c:v>95</c:v>
                </c:pt>
                <c:pt idx="10">
                  <c:v>106</c:v>
                </c:pt>
                <c:pt idx="11">
                  <c:v>109</c:v>
                </c:pt>
              </c:numCache>
            </c:numRef>
          </c:xVal>
          <c:yVal>
            <c:numRef>
              <c:f>'Rudisha Analysis'!$U$3:$U$14</c:f>
              <c:numCache>
                <c:formatCode>General</c:formatCode>
                <c:ptCount val="12"/>
                <c:pt idx="0">
                  <c:v>3286.1039999999998</c:v>
                </c:pt>
                <c:pt idx="1">
                  <c:v>131.70529999999999</c:v>
                </c:pt>
                <c:pt idx="2">
                  <c:v>171.09630000000001</c:v>
                </c:pt>
                <c:pt idx="3">
                  <c:v>35.478999999999999</c:v>
                </c:pt>
                <c:pt idx="4">
                  <c:v>2.3029999999999999</c:v>
                </c:pt>
                <c:pt idx="5">
                  <c:v>9.3884000000000007</c:v>
                </c:pt>
                <c:pt idx="6">
                  <c:v>1.0328999999999999</c:v>
                </c:pt>
                <c:pt idx="7">
                  <c:v>5.4847999999999999</c:v>
                </c:pt>
                <c:pt idx="8">
                  <c:v>11.4634</c:v>
                </c:pt>
                <c:pt idx="9">
                  <c:v>11.1714</c:v>
                </c:pt>
                <c:pt idx="10">
                  <c:v>6.3822999999999999</c:v>
                </c:pt>
                <c:pt idx="11">
                  <c:v>5.7083000000000004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12-44BE-877D-BA0A8BB18E9B}"/>
            </c:ext>
          </c:extLst>
        </c:ser>
        <c:ser>
          <c:idx val="1"/>
          <c:order val="1"/>
          <c:tx>
            <c:strRef>
              <c:f>'Rudisha Analysis'!$V$2</c:f>
              <c:strCache>
                <c:ptCount val="1"/>
                <c:pt idx="0">
                  <c:v>Cubic Deviation (33)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1.9962379702537184E-2"/>
                  <c:y val="-0.2573217410323709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'Rudisha Analysis'!$Q$3:$Q$14</c:f>
              <c:numCache>
                <c:formatCode>General</c:formatCode>
                <c:ptCount val="12"/>
                <c:pt idx="0">
                  <c:v>6</c:v>
                </c:pt>
                <c:pt idx="1">
                  <c:v>14</c:v>
                </c:pt>
                <c:pt idx="2">
                  <c:v>23</c:v>
                </c:pt>
                <c:pt idx="3">
                  <c:v>34</c:v>
                </c:pt>
                <c:pt idx="4">
                  <c:v>50</c:v>
                </c:pt>
                <c:pt idx="5">
                  <c:v>65</c:v>
                </c:pt>
                <c:pt idx="6">
                  <c:v>74</c:v>
                </c:pt>
                <c:pt idx="7">
                  <c:v>76</c:v>
                </c:pt>
                <c:pt idx="8">
                  <c:v>84</c:v>
                </c:pt>
                <c:pt idx="9">
                  <c:v>95</c:v>
                </c:pt>
                <c:pt idx="10">
                  <c:v>106</c:v>
                </c:pt>
                <c:pt idx="11">
                  <c:v>109</c:v>
                </c:pt>
              </c:numCache>
            </c:numRef>
          </c:xVal>
          <c:yVal>
            <c:numRef>
              <c:f>'Rudisha Analysis'!$V$3:$V$14</c:f>
              <c:numCache>
                <c:formatCode>General</c:formatCode>
                <c:ptCount val="12"/>
                <c:pt idx="0">
                  <c:v>682600.38699999999</c:v>
                </c:pt>
                <c:pt idx="1">
                  <c:v>5819.0864000000001</c:v>
                </c:pt>
                <c:pt idx="2">
                  <c:v>396.76589999999999</c:v>
                </c:pt>
                <c:pt idx="3">
                  <c:v>688.11069999999995</c:v>
                </c:pt>
                <c:pt idx="4">
                  <c:v>346.27749999999997</c:v>
                </c:pt>
                <c:pt idx="5">
                  <c:v>19.953299999999999</c:v>
                </c:pt>
                <c:pt idx="6">
                  <c:v>46.977200000000003</c:v>
                </c:pt>
                <c:pt idx="7">
                  <c:v>4.7000000000000002E-3</c:v>
                </c:pt>
                <c:pt idx="8">
                  <c:v>23.226500000000001</c:v>
                </c:pt>
                <c:pt idx="9">
                  <c:v>16.704899999999999</c:v>
                </c:pt>
                <c:pt idx="10">
                  <c:v>4.0251000000000001</c:v>
                </c:pt>
                <c:pt idx="11">
                  <c:v>4.8464999999999998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12-44BE-877D-BA0A8BB18E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266751"/>
        <c:axId val="496260511"/>
      </c:scatterChart>
      <c:valAx>
        <c:axId val="496266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260511"/>
        <c:crosses val="autoZero"/>
        <c:crossBetween val="midCat"/>
      </c:valAx>
      <c:valAx>
        <c:axId val="496260511"/>
        <c:scaling>
          <c:orientation val="minMax"/>
          <c:max val="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2667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373380</xdr:colOff>
      <xdr:row>6</xdr:row>
      <xdr:rowOff>175260</xdr:rowOff>
    </xdr:from>
    <xdr:to>
      <xdr:col>14</xdr:col>
      <xdr:colOff>68580</xdr:colOff>
      <xdr:row>21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4B485D6-0D23-45D1-BBF5-E074EF89D9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213360</xdr:colOff>
      <xdr:row>17</xdr:row>
      <xdr:rowOff>99060</xdr:rowOff>
    </xdr:from>
    <xdr:to>
      <xdr:col>19</xdr:col>
      <xdr:colOff>449580</xdr:colOff>
      <xdr:row>32</xdr:row>
      <xdr:rowOff>99060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7337CC2-D7D6-4EF4-927A-86C90C3E2F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2186940</xdr:colOff>
      <xdr:row>38</xdr:row>
      <xdr:rowOff>83820</xdr:rowOff>
    </xdr:from>
    <xdr:to>
      <xdr:col>13</xdr:col>
      <xdr:colOff>373380</xdr:colOff>
      <xdr:row>53</xdr:row>
      <xdr:rowOff>83820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6014068-8836-474B-B2D4-A8B1900BCD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1440180</xdr:colOff>
      <xdr:row>17</xdr:row>
      <xdr:rowOff>99060</xdr:rowOff>
    </xdr:from>
    <xdr:to>
      <xdr:col>22</xdr:col>
      <xdr:colOff>1143000</xdr:colOff>
      <xdr:row>32</xdr:row>
      <xdr:rowOff>99060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876C869-474D-4A97-BF0F-BCDB033603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2606040</xdr:colOff>
      <xdr:row>5</xdr:row>
      <xdr:rowOff>144780</xdr:rowOff>
    </xdr:from>
    <xdr:to>
      <xdr:col>15</xdr:col>
      <xdr:colOff>335280</xdr:colOff>
      <xdr:row>20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30EB60-5512-4FCA-B914-FF3C1C81F8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628650</xdr:colOff>
      <xdr:row>27</xdr:row>
      <xdr:rowOff>53340</xdr:rowOff>
    </xdr:from>
    <xdr:to>
      <xdr:col>15</xdr:col>
      <xdr:colOff>262890</xdr:colOff>
      <xdr:row>42</xdr:row>
      <xdr:rowOff>53340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EC1EEE1-867A-4E2A-9339-E465BD5F8D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624840</xdr:colOff>
      <xdr:row>21</xdr:row>
      <xdr:rowOff>38100</xdr:rowOff>
    </xdr:from>
    <xdr:to>
      <xdr:col>19</xdr:col>
      <xdr:colOff>1851660</xdr:colOff>
      <xdr:row>36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0B44303-CA11-48D1-A240-FBDF2444C9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121920</xdr:colOff>
      <xdr:row>21</xdr:row>
      <xdr:rowOff>7620</xdr:rowOff>
    </xdr:from>
    <xdr:to>
      <xdr:col>22</xdr:col>
      <xdr:colOff>2057400</xdr:colOff>
      <xdr:row>36</xdr:row>
      <xdr:rowOff>7620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99B4FC8-F32E-455B-B5EB-0A209F9BDD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9F2EB-6C3C-4382-B0D0-A8274A172428}">
  <dimension ref="B1:W83"/>
  <sheetViews>
    <sheetView topLeftCell="K1" workbookViewId="0">
      <selection activeCell="T3" sqref="T3"/>
    </sheetView>
  </sheetViews>
  <sheetFormatPr defaultRowHeight="14.4" x14ac:dyDescent="0.3"/>
  <cols>
    <col min="3" max="4" width="9.88671875" bestFit="1" customWidth="1"/>
    <col min="6" max="6" width="9.21875" bestFit="1" customWidth="1"/>
    <col min="8" max="8" width="40.5546875" bestFit="1" customWidth="1"/>
    <col min="9" max="9" width="17" bestFit="1" customWidth="1"/>
    <col min="12" max="12" width="9.6640625" bestFit="1" customWidth="1"/>
    <col min="16" max="17" width="15.88671875" bestFit="1" customWidth="1"/>
    <col min="18" max="18" width="21" bestFit="1" customWidth="1"/>
    <col min="19" max="19" width="17.44140625" bestFit="1" customWidth="1"/>
    <col min="20" max="20" width="32.5546875" bestFit="1" customWidth="1"/>
    <col min="21" max="21" width="21" bestFit="1" customWidth="1"/>
    <col min="22" max="22" width="17.44140625" bestFit="1" customWidth="1"/>
    <col min="23" max="23" width="32.5546875" bestFit="1" customWidth="1"/>
    <col min="24" max="24" width="21" bestFit="1" customWidth="1"/>
    <col min="25" max="25" width="17.44140625" bestFit="1" customWidth="1"/>
    <col min="26" max="26" width="32.5546875" bestFit="1" customWidth="1"/>
  </cols>
  <sheetData>
    <row r="1" spans="2:23" x14ac:dyDescent="0.3">
      <c r="B1" s="1">
        <v>34500</v>
      </c>
      <c r="C1" t="s">
        <v>1</v>
      </c>
      <c r="D1" t="s">
        <v>3</v>
      </c>
      <c r="E1" t="s">
        <v>0</v>
      </c>
    </row>
    <row r="2" spans="2:23" x14ac:dyDescent="0.3">
      <c r="B2">
        <v>1</v>
      </c>
      <c r="C2" s="1">
        <v>40684</v>
      </c>
      <c r="D2">
        <f>(C2-$B$1)/365.25</f>
        <v>16.930869267624914</v>
      </c>
      <c r="E2" s="2">
        <v>110.2</v>
      </c>
      <c r="P2" t="s">
        <v>4</v>
      </c>
      <c r="Q2" t="s">
        <v>7</v>
      </c>
      <c r="R2" t="s">
        <v>5</v>
      </c>
      <c r="S2" t="s">
        <v>6</v>
      </c>
      <c r="T2" t="s">
        <v>8</v>
      </c>
      <c r="U2" t="s">
        <v>16</v>
      </c>
      <c r="V2" t="s">
        <v>17</v>
      </c>
      <c r="W2" t="s">
        <v>8</v>
      </c>
    </row>
    <row r="3" spans="2:23" x14ac:dyDescent="0.3">
      <c r="B3">
        <v>2</v>
      </c>
      <c r="C3" s="1">
        <v>40706</v>
      </c>
      <c r="D3">
        <f>(C3-$B$1)/365.25</f>
        <v>16.991101984941821</v>
      </c>
      <c r="E3" s="2">
        <v>109.99</v>
      </c>
      <c r="P3">
        <v>2011</v>
      </c>
      <c r="Q3">
        <v>6</v>
      </c>
      <c r="R3">
        <f>ABS(-3931.92-104.5)</f>
        <v>4036.42</v>
      </c>
      <c r="S3">
        <f>ABS(-662951.2-104.5)</f>
        <v>663055.69999999995</v>
      </c>
      <c r="T3" s="3">
        <f>S3/R3</f>
        <v>164.26826247020873</v>
      </c>
      <c r="U3">
        <v>23417.43</v>
      </c>
      <c r="V3" s="6">
        <v>4030922.1</v>
      </c>
      <c r="W3" s="3">
        <f>V3/U3</f>
        <v>172.13341088240682</v>
      </c>
    </row>
    <row r="4" spans="2:23" x14ac:dyDescent="0.3">
      <c r="B4">
        <v>3</v>
      </c>
      <c r="C4" s="1">
        <v>40730</v>
      </c>
      <c r="D4">
        <f>(C4-$B$1)/365.25</f>
        <v>17.056810403832991</v>
      </c>
      <c r="E4" s="2">
        <v>111.55</v>
      </c>
      <c r="P4">
        <v>2012</v>
      </c>
      <c r="Q4">
        <v>13</v>
      </c>
      <c r="R4">
        <f>ABS(-139.382)</f>
        <v>139.38200000000001</v>
      </c>
      <c r="S4">
        <f>ABS(-2005.244)</f>
        <v>2005.2439999999999</v>
      </c>
      <c r="T4" s="3">
        <f t="shared" ref="T4:T11" si="0">S4/R4</f>
        <v>14.386678337231492</v>
      </c>
      <c r="U4" s="6">
        <v>943.02549999999997</v>
      </c>
      <c r="V4" s="6">
        <v>320007.94199999998</v>
      </c>
      <c r="W4" s="3">
        <f t="shared" ref="W4:W11" si="1">V4/U4</f>
        <v>339.34176965522141</v>
      </c>
    </row>
    <row r="5" spans="2:23" x14ac:dyDescent="0.3">
      <c r="B5">
        <v>4</v>
      </c>
      <c r="C5" s="1">
        <v>40731</v>
      </c>
      <c r="D5">
        <f>(C5-$B$1)/365.25</f>
        <v>17.059548254620122</v>
      </c>
      <c r="E5" s="2">
        <v>111</v>
      </c>
      <c r="P5">
        <v>2013</v>
      </c>
      <c r="Q5">
        <v>18</v>
      </c>
      <c r="R5">
        <v>1.5993999999999999</v>
      </c>
      <c r="S5">
        <f>ABS(-124.8992)</f>
        <v>124.89919999999999</v>
      </c>
      <c r="T5" s="3">
        <f t="shared" si="0"/>
        <v>78.09128423158684</v>
      </c>
      <c r="U5" s="6">
        <v>11.1792</v>
      </c>
      <c r="V5" s="6">
        <v>2919.9031</v>
      </c>
      <c r="W5" s="3">
        <f t="shared" si="1"/>
        <v>261.19070237584083</v>
      </c>
    </row>
    <row r="6" spans="2:23" x14ac:dyDescent="0.3">
      <c r="B6">
        <v>5</v>
      </c>
      <c r="C6" s="1">
        <v>40747</v>
      </c>
      <c r="D6">
        <f>(C6-$B$1)/365.25</f>
        <v>17.103353867214238</v>
      </c>
      <c r="E6" s="2">
        <v>110.86</v>
      </c>
      <c r="P6">
        <v>2014</v>
      </c>
      <c r="Q6">
        <v>28</v>
      </c>
      <c r="R6">
        <f>ABS(-0.4528)</f>
        <v>0.45279999999999998</v>
      </c>
      <c r="S6">
        <v>2.4843999999999999</v>
      </c>
      <c r="T6" s="3">
        <f t="shared" si="0"/>
        <v>5.4867491166077738</v>
      </c>
      <c r="U6" s="6">
        <v>24.7926</v>
      </c>
      <c r="V6" s="6">
        <v>57.279600000000002</v>
      </c>
      <c r="W6" s="3">
        <f t="shared" si="1"/>
        <v>2.310350669151279</v>
      </c>
    </row>
    <row r="7" spans="2:23" x14ac:dyDescent="0.3">
      <c r="C7" s="1">
        <v>40762</v>
      </c>
      <c r="D7">
        <f>(C7-$B$1)/365.25</f>
        <v>17.144421629021217</v>
      </c>
      <c r="E7" s="2">
        <v>108.41</v>
      </c>
      <c r="P7">
        <v>2015</v>
      </c>
      <c r="Q7">
        <v>36</v>
      </c>
      <c r="R7">
        <v>2.6132</v>
      </c>
      <c r="S7">
        <v>5.5376000000000003</v>
      </c>
      <c r="T7" s="3">
        <f t="shared" si="0"/>
        <v>2.1190877085565591</v>
      </c>
      <c r="U7" s="6">
        <v>5.0259999999999998</v>
      </c>
      <c r="V7" s="6">
        <v>180.7713</v>
      </c>
      <c r="W7" s="3">
        <f t="shared" si="1"/>
        <v>35.967230401910065</v>
      </c>
    </row>
    <row r="8" spans="2:23" x14ac:dyDescent="0.3">
      <c r="C8" s="1">
        <v>41053</v>
      </c>
      <c r="D8">
        <f>(C8-$B$1)/365.25</f>
        <v>17.94113620807666</v>
      </c>
      <c r="E8" s="2">
        <v>110.02</v>
      </c>
      <c r="P8">
        <v>2016</v>
      </c>
      <c r="Q8">
        <v>50</v>
      </c>
      <c r="R8">
        <v>1.2924</v>
      </c>
      <c r="S8">
        <v>1.7287999999999999</v>
      </c>
      <c r="T8" s="3">
        <f t="shared" si="0"/>
        <v>1.3376663571649643</v>
      </c>
      <c r="U8" s="6">
        <v>10.5853</v>
      </c>
      <c r="V8" s="6">
        <v>29.055900000000001</v>
      </c>
      <c r="W8" s="3">
        <f t="shared" si="1"/>
        <v>2.744929288730598</v>
      </c>
    </row>
    <row r="9" spans="2:23" x14ac:dyDescent="0.3">
      <c r="C9" s="1">
        <v>41055</v>
      </c>
      <c r="D9">
        <f>(C9-$B$1)/365.25</f>
        <v>17.946611909650922</v>
      </c>
      <c r="E9" s="2">
        <v>107.14</v>
      </c>
      <c r="P9">
        <v>2017</v>
      </c>
      <c r="Q9">
        <v>61</v>
      </c>
      <c r="R9">
        <v>1.6772</v>
      </c>
      <c r="S9">
        <v>1.6064000000000001</v>
      </c>
      <c r="T9" s="3">
        <f t="shared" si="0"/>
        <v>0.95778678750298119</v>
      </c>
      <c r="U9" s="6">
        <v>2.7231000000000001</v>
      </c>
      <c r="V9" s="6">
        <v>18.304099999999998</v>
      </c>
      <c r="W9" s="3">
        <f t="shared" si="1"/>
        <v>6.721787668466086</v>
      </c>
    </row>
    <row r="10" spans="2:23" x14ac:dyDescent="0.3">
      <c r="C10" s="1">
        <v>41069</v>
      </c>
      <c r="D10">
        <f>(C10-$B$1)/365.25</f>
        <v>17.984941820670773</v>
      </c>
      <c r="E10" s="2">
        <v>112.69</v>
      </c>
      <c r="P10">
        <v>2018</v>
      </c>
      <c r="Q10">
        <v>69</v>
      </c>
      <c r="R10">
        <v>1.7594000000000001</v>
      </c>
      <c r="S10">
        <v>1.1066</v>
      </c>
      <c r="T10" s="3">
        <f t="shared" si="0"/>
        <v>0.62896441968853012</v>
      </c>
      <c r="U10" s="6">
        <v>0.45939999999999998</v>
      </c>
      <c r="V10" s="6">
        <v>14.9497</v>
      </c>
      <c r="W10" s="3">
        <f t="shared" si="1"/>
        <v>32.541793643883331</v>
      </c>
    </row>
    <row r="11" spans="2:23" x14ac:dyDescent="0.3">
      <c r="C11" s="1">
        <v>41069</v>
      </c>
      <c r="D11">
        <f>(C11-$B$1)/365.25</f>
        <v>17.984941820670773</v>
      </c>
      <c r="E11" s="2">
        <v>113.75</v>
      </c>
      <c r="P11">
        <v>2019</v>
      </c>
      <c r="Q11">
        <v>79</v>
      </c>
      <c r="R11">
        <v>1.7514000000000001</v>
      </c>
      <c r="S11">
        <v>1.581</v>
      </c>
      <c r="T11" s="3">
        <f t="shared" si="0"/>
        <v>0.9027064063035285</v>
      </c>
      <c r="U11" s="6">
        <v>0.71689999999999998</v>
      </c>
      <c r="V11" s="6">
        <v>1.4836</v>
      </c>
      <c r="W11" s="3">
        <f t="shared" si="1"/>
        <v>2.0694657553354721</v>
      </c>
    </row>
    <row r="12" spans="2:23" x14ac:dyDescent="0.3">
      <c r="C12" s="1">
        <v>41103</v>
      </c>
      <c r="D12">
        <f>(C12-$B$1)/365.25</f>
        <v>18.078028747433265</v>
      </c>
      <c r="E12" s="2">
        <v>109.77</v>
      </c>
    </row>
    <row r="13" spans="2:23" x14ac:dyDescent="0.3">
      <c r="C13" s="1">
        <v>41104</v>
      </c>
      <c r="D13">
        <f>(C13-$B$1)/365.25</f>
        <v>18.080766598220396</v>
      </c>
      <c r="E13" s="2">
        <v>107.69</v>
      </c>
    </row>
    <row r="14" spans="2:23" x14ac:dyDescent="0.3">
      <c r="C14" s="1">
        <v>41105</v>
      </c>
      <c r="D14">
        <f>(C14-$B$1)/365.25</f>
        <v>18.083504449007528</v>
      </c>
      <c r="E14" s="2">
        <v>106.07</v>
      </c>
      <c r="F14" s="4"/>
    </row>
    <row r="15" spans="2:23" x14ac:dyDescent="0.3">
      <c r="C15" s="1">
        <v>41404</v>
      </c>
      <c r="D15">
        <f>(C15-$B$1)/365.25</f>
        <v>18.902121834360027</v>
      </c>
      <c r="E15" s="2">
        <v>110.17</v>
      </c>
      <c r="Q15">
        <v>22</v>
      </c>
      <c r="R15">
        <v>22</v>
      </c>
      <c r="S15">
        <v>29</v>
      </c>
      <c r="T15">
        <v>29</v>
      </c>
    </row>
    <row r="16" spans="2:23" x14ac:dyDescent="0.3">
      <c r="C16" s="1">
        <v>41417</v>
      </c>
      <c r="D16">
        <f>(C16-$B$1)/365.25</f>
        <v>18.937713894592743</v>
      </c>
      <c r="E16" s="2">
        <v>111.3</v>
      </c>
      <c r="Q16">
        <f>0.0686*Q15^2-3.5655*Q15+151.49</f>
        <v>106.2514</v>
      </c>
      <c r="R16">
        <f>0.0065*R15^3-0.3458*R15^2+5.1481*R15+90.978</f>
        <v>106.081</v>
      </c>
      <c r="S16">
        <f>0.0686*S15^2-3.5655*S15+151.49</f>
        <v>105.7831</v>
      </c>
      <c r="T16">
        <f>0.0065*T15^3-0.3458*T15^2+5.1481*T15+90.978</f>
        <v>107.98360000000001</v>
      </c>
    </row>
    <row r="17" spans="3:20" x14ac:dyDescent="0.3">
      <c r="C17" s="1">
        <v>41476</v>
      </c>
      <c r="D17">
        <f>(C17-$B$1)/365.25</f>
        <v>19.09924709103354</v>
      </c>
      <c r="E17" s="2">
        <v>107.72</v>
      </c>
      <c r="Q17">
        <f>Q16-104.5</f>
        <v>1.7514000000000038</v>
      </c>
      <c r="R17">
        <f>R16-104.5</f>
        <v>1.5810000000000031</v>
      </c>
      <c r="S17">
        <f>S16-106.5</f>
        <v>-0.71689999999999543</v>
      </c>
      <c r="T17">
        <f>T16-106.5</f>
        <v>1.4836000000000098</v>
      </c>
    </row>
    <row r="18" spans="3:20" x14ac:dyDescent="0.3">
      <c r="C18" s="1">
        <v>41499</v>
      </c>
      <c r="D18">
        <f>(C18-$B$1)/365.25</f>
        <v>19.162217659137578</v>
      </c>
      <c r="E18" s="2">
        <v>110.34</v>
      </c>
    </row>
    <row r="19" spans="3:20" x14ac:dyDescent="0.3">
      <c r="C19" s="1">
        <v>41502</v>
      </c>
      <c r="D19">
        <f>(C19-$B$1)/365.25</f>
        <v>19.170431211498972</v>
      </c>
      <c r="E19" s="2">
        <v>106.38</v>
      </c>
    </row>
    <row r="20" spans="3:20" x14ac:dyDescent="0.3">
      <c r="C20" s="1">
        <v>41748</v>
      </c>
      <c r="D20">
        <f>(C20-$B$1)/365.25</f>
        <v>19.843942505133469</v>
      </c>
      <c r="E20" s="2">
        <v>105.35</v>
      </c>
      <c r="F20" s="4"/>
    </row>
    <row r="21" spans="3:20" x14ac:dyDescent="0.3">
      <c r="C21" s="1">
        <v>41775</v>
      </c>
      <c r="D21">
        <f>(C21-$B$1)/365.25</f>
        <v>19.917864476386036</v>
      </c>
      <c r="E21" s="2">
        <v>107.13</v>
      </c>
    </row>
    <row r="22" spans="3:20" x14ac:dyDescent="0.3">
      <c r="C22" s="1">
        <v>41777</v>
      </c>
      <c r="D22">
        <f>(C22-$B$1)/365.25</f>
        <v>19.923340177960302</v>
      </c>
      <c r="E22" s="2">
        <v>107.59</v>
      </c>
    </row>
    <row r="23" spans="3:20" x14ac:dyDescent="0.3">
      <c r="C23" s="1">
        <v>41788</v>
      </c>
      <c r="D23">
        <f>(C23-$B$1)/365.25</f>
        <v>19.953456536618756</v>
      </c>
      <c r="E23" s="2">
        <v>108.31</v>
      </c>
    </row>
    <row r="24" spans="3:20" x14ac:dyDescent="0.3">
      <c r="C24" s="1">
        <v>41789</v>
      </c>
      <c r="D24">
        <f>(C24-$B$1)/365.25</f>
        <v>19.956194387405887</v>
      </c>
      <c r="E24" s="2">
        <v>106.8</v>
      </c>
      <c r="H24" t="s">
        <v>9</v>
      </c>
      <c r="I24" t="s">
        <v>2</v>
      </c>
    </row>
    <row r="25" spans="3:20" x14ac:dyDescent="0.3">
      <c r="C25" s="1">
        <v>41801</v>
      </c>
      <c r="D25">
        <f>(C25-$B$1)/365.25</f>
        <v>19.989048596851472</v>
      </c>
      <c r="E25" s="2">
        <v>108.09</v>
      </c>
      <c r="H25">
        <v>17</v>
      </c>
      <c r="I25">
        <v>110.34</v>
      </c>
    </row>
    <row r="26" spans="3:20" x14ac:dyDescent="0.3">
      <c r="C26" s="1">
        <v>41803</v>
      </c>
      <c r="D26">
        <f>(C26-$B$1)/365.25</f>
        <v>19.994524298425734</v>
      </c>
      <c r="E26" s="2">
        <v>106.26</v>
      </c>
      <c r="H26">
        <v>18</v>
      </c>
      <c r="I26">
        <v>109.59</v>
      </c>
    </row>
    <row r="27" spans="3:20" x14ac:dyDescent="0.3">
      <c r="C27" s="1">
        <v>41818</v>
      </c>
      <c r="D27">
        <f>(C27-$B$1)/365.25</f>
        <v>20.035592060232716</v>
      </c>
      <c r="E27" s="2">
        <v>109.27</v>
      </c>
      <c r="F27" s="4"/>
      <c r="H27">
        <v>19</v>
      </c>
      <c r="I27">
        <v>109.18</v>
      </c>
    </row>
    <row r="28" spans="3:20" x14ac:dyDescent="0.3">
      <c r="C28" s="1">
        <v>41819</v>
      </c>
      <c r="D28">
        <f>(C28-$B$1)/365.25</f>
        <v>20.038329911019851</v>
      </c>
      <c r="E28" s="2">
        <v>106.69</v>
      </c>
      <c r="H28">
        <v>20</v>
      </c>
      <c r="I28">
        <v>107.48</v>
      </c>
    </row>
    <row r="29" spans="3:20" x14ac:dyDescent="0.3">
      <c r="C29" s="1">
        <v>41849</v>
      </c>
      <c r="D29">
        <f>(C29-$B$1)/365.25</f>
        <v>20.120465434633811</v>
      </c>
      <c r="E29" s="2">
        <v>109.29</v>
      </c>
      <c r="H29">
        <v>21</v>
      </c>
      <c r="I29">
        <v>107.47</v>
      </c>
    </row>
    <row r="30" spans="3:20" x14ac:dyDescent="0.3">
      <c r="C30" s="1">
        <v>42112</v>
      </c>
      <c r="D30">
        <f>(C30-$B$1)/365.25</f>
        <v>20.840520191649556</v>
      </c>
      <c r="E30" s="2">
        <v>106.28</v>
      </c>
      <c r="H30">
        <v>22</v>
      </c>
      <c r="I30">
        <v>105.65</v>
      </c>
    </row>
    <row r="31" spans="3:20" x14ac:dyDescent="0.3">
      <c r="C31" s="1">
        <v>42139</v>
      </c>
      <c r="D31">
        <f>(C31-$B$1)/365.25</f>
        <v>20.914442162902123</v>
      </c>
      <c r="E31" s="2">
        <v>105.87</v>
      </c>
      <c r="H31">
        <v>23</v>
      </c>
      <c r="I31">
        <v>105.83</v>
      </c>
    </row>
    <row r="32" spans="3:20" x14ac:dyDescent="0.3">
      <c r="C32" s="1">
        <v>42140</v>
      </c>
      <c r="D32">
        <f>(C32-$B$1)/365.25</f>
        <v>20.917180013689254</v>
      </c>
      <c r="E32" s="2">
        <v>106.43</v>
      </c>
      <c r="F32" s="4"/>
      <c r="H32">
        <v>24</v>
      </c>
      <c r="I32">
        <v>105.92</v>
      </c>
    </row>
    <row r="33" spans="3:13" x14ac:dyDescent="0.3">
      <c r="C33" s="1">
        <v>42152</v>
      </c>
      <c r="D33">
        <f>(C33-$B$1)/365.25</f>
        <v>20.950034223134839</v>
      </c>
      <c r="E33" s="2">
        <v>108.19</v>
      </c>
      <c r="H33">
        <v>25</v>
      </c>
      <c r="I33">
        <v>105.07</v>
      </c>
    </row>
    <row r="34" spans="3:13" x14ac:dyDescent="0.3">
      <c r="C34" s="1">
        <v>42153</v>
      </c>
      <c r="D34">
        <f>(C34-$B$1)/365.25</f>
        <v>20.95277207392197</v>
      </c>
      <c r="E34" s="2">
        <v>105.97</v>
      </c>
    </row>
    <row r="35" spans="3:13" x14ac:dyDescent="0.3">
      <c r="C35" s="1">
        <v>42165</v>
      </c>
      <c r="D35">
        <f>(C35-$B$1)/365.25</f>
        <v>20.985626283367555</v>
      </c>
      <c r="E35" s="2">
        <v>107.28</v>
      </c>
      <c r="H35" t="s">
        <v>20</v>
      </c>
      <c r="I35" t="s">
        <v>12</v>
      </c>
      <c r="J35" t="s">
        <v>13</v>
      </c>
      <c r="K35" t="s">
        <v>14</v>
      </c>
    </row>
    <row r="36" spans="3:13" x14ac:dyDescent="0.3">
      <c r="C36" s="1">
        <v>42167</v>
      </c>
      <c r="D36">
        <f>(C36-$B$1)/365.25</f>
        <v>20.991101984941821</v>
      </c>
      <c r="E36" s="2">
        <v>110.11</v>
      </c>
      <c r="H36" t="s">
        <v>10</v>
      </c>
      <c r="I36">
        <f>0.0513*22^2-2.8297*22+143.87</f>
        <v>106.44580000000001</v>
      </c>
      <c r="J36">
        <f>0.01*22^3-0.5814*22^2+10.337*22+53.36</f>
        <v>105.85639999999999</v>
      </c>
      <c r="K36">
        <f>0.0032*22^4-0.2337*22^3+6.2275*22^2-73.246*22+433.66</f>
        <v>97.539600000000689</v>
      </c>
      <c r="L36" s="5" t="s">
        <v>18</v>
      </c>
      <c r="M36">
        <f>(I36+J36)/2</f>
        <v>106.1511</v>
      </c>
    </row>
    <row r="37" spans="3:13" x14ac:dyDescent="0.3">
      <c r="C37" s="1">
        <v>42207</v>
      </c>
      <c r="D37">
        <f>(C37-$B$1)/365.25</f>
        <v>21.100616016427104</v>
      </c>
      <c r="E37" s="2">
        <v>109.65</v>
      </c>
      <c r="H37" t="s">
        <v>11</v>
      </c>
      <c r="I37">
        <f>0.0513*29^2-2.8297*29+143.87</f>
        <v>104.952</v>
      </c>
      <c r="J37">
        <f>0.01*29^3-0.5814*29^2+10.337*29+53.36</f>
        <v>108.06559999999998</v>
      </c>
      <c r="K37">
        <f>0.0032*29^4-0.2337*29^3+6.2275*29^2-73.246*29+433.66</f>
        <v>110.44340000000074</v>
      </c>
      <c r="L37" t="s">
        <v>19</v>
      </c>
      <c r="M37">
        <f>(I37+J37)/2</f>
        <v>106.50879999999998</v>
      </c>
    </row>
    <row r="38" spans="3:13" x14ac:dyDescent="0.3">
      <c r="C38" s="1">
        <v>42483</v>
      </c>
      <c r="D38">
        <f>(C38-$B$1)/365.25</f>
        <v>21.856262833675565</v>
      </c>
      <c r="E38" s="2">
        <v>106.14</v>
      </c>
    </row>
    <row r="39" spans="3:13" x14ac:dyDescent="0.3">
      <c r="C39" s="1">
        <v>42490</v>
      </c>
      <c r="D39">
        <f>(C39-$B$1)/365.25</f>
        <v>21.87542778918549</v>
      </c>
      <c r="E39" s="2">
        <v>104.63</v>
      </c>
    </row>
    <row r="40" spans="3:13" x14ac:dyDescent="0.3">
      <c r="C40" s="1">
        <v>42502</v>
      </c>
      <c r="D40">
        <f>(C40-$B$1)/365.25</f>
        <v>21.908281998631075</v>
      </c>
      <c r="E40" s="2">
        <v>107.38</v>
      </c>
    </row>
    <row r="41" spans="3:13" x14ac:dyDescent="0.3">
      <c r="C41" s="1">
        <v>42504</v>
      </c>
      <c r="D41">
        <f>(C41-$B$1)/365.25</f>
        <v>21.913757700205338</v>
      </c>
      <c r="E41" s="2">
        <v>105.68</v>
      </c>
    </row>
    <row r="42" spans="3:13" x14ac:dyDescent="0.3">
      <c r="C42" s="1">
        <v>42516</v>
      </c>
      <c r="D42">
        <f>(C42-$B$1)/365.25</f>
        <v>21.946611909650922</v>
      </c>
      <c r="E42" s="2">
        <v>106.91</v>
      </c>
      <c r="F42" s="4"/>
    </row>
    <row r="43" spans="3:13" x14ac:dyDescent="0.3">
      <c r="C43" s="1">
        <v>42517</v>
      </c>
      <c r="D43">
        <f>(C43-$B$1)/365.25</f>
        <v>21.949349760438057</v>
      </c>
      <c r="E43" s="2">
        <v>104.89</v>
      </c>
    </row>
    <row r="44" spans="3:13" x14ac:dyDescent="0.3">
      <c r="C44" s="1">
        <v>42529</v>
      </c>
      <c r="D44">
        <f>(C44-$B$1)/365.25</f>
        <v>21.982203969883642</v>
      </c>
      <c r="E44" s="2">
        <v>105.48</v>
      </c>
    </row>
    <row r="45" spans="3:13" x14ac:dyDescent="0.3">
      <c r="C45" s="1">
        <v>42531</v>
      </c>
      <c r="D45">
        <f>(C45-$B$1)/365.25</f>
        <v>21.987679671457904</v>
      </c>
      <c r="E45" s="2">
        <v>104.5</v>
      </c>
    </row>
    <row r="46" spans="3:13" x14ac:dyDescent="0.3">
      <c r="C46" s="1">
        <v>42560</v>
      </c>
      <c r="D46">
        <f>(C46-$B$1)/365.25</f>
        <v>22.067077344284737</v>
      </c>
      <c r="E46" s="2">
        <v>108.02</v>
      </c>
    </row>
    <row r="47" spans="3:13" x14ac:dyDescent="0.3">
      <c r="C47" s="1">
        <v>42561</v>
      </c>
      <c r="D47">
        <f>(C47-$B$1)/365.25</f>
        <v>22.069815195071868</v>
      </c>
      <c r="E47" s="2">
        <v>105.25</v>
      </c>
    </row>
    <row r="48" spans="3:13" x14ac:dyDescent="0.3">
      <c r="C48" s="1">
        <v>42566</v>
      </c>
      <c r="D48">
        <f>(C48-$B$1)/365.25</f>
        <v>22.083504449007528</v>
      </c>
      <c r="E48" s="2">
        <v>104.9</v>
      </c>
    </row>
    <row r="49" spans="3:6" x14ac:dyDescent="0.3">
      <c r="C49" s="1">
        <v>42573</v>
      </c>
      <c r="D49">
        <f>(C49-$B$1)/365.25</f>
        <v>22.102669404517453</v>
      </c>
      <c r="E49" s="2">
        <v>103.95</v>
      </c>
    </row>
    <row r="50" spans="3:6" x14ac:dyDescent="0.3">
      <c r="C50" s="1">
        <v>42594</v>
      </c>
      <c r="D50">
        <f>(C50-$B$1)/365.25</f>
        <v>22.160164271047229</v>
      </c>
      <c r="E50" s="2">
        <v>105.99</v>
      </c>
      <c r="F50" s="4"/>
    </row>
    <row r="51" spans="3:6" x14ac:dyDescent="0.3">
      <c r="C51" s="1">
        <v>42595</v>
      </c>
      <c r="D51">
        <f>(C51-$B$1)/365.25</f>
        <v>22.16290212183436</v>
      </c>
      <c r="E51" s="2">
        <v>105.41</v>
      </c>
    </row>
    <row r="52" spans="3:6" x14ac:dyDescent="0.3">
      <c r="C52" s="1">
        <v>42868</v>
      </c>
      <c r="D52">
        <f>(C52-$B$1)/365.25</f>
        <v>22.910335386721425</v>
      </c>
      <c r="E52" s="2">
        <v>106.4</v>
      </c>
    </row>
    <row r="53" spans="3:6" x14ac:dyDescent="0.3">
      <c r="C53" s="1">
        <v>42888</v>
      </c>
      <c r="D53">
        <f>(C53-$B$1)/365.25</f>
        <v>22.965092402464066</v>
      </c>
      <c r="E53" s="2">
        <v>105.36</v>
      </c>
    </row>
    <row r="54" spans="3:6" x14ac:dyDescent="0.3">
      <c r="C54" s="1">
        <v>42894</v>
      </c>
      <c r="D54">
        <f>(C54-$B$1)/365.25</f>
        <v>22.981519507186857</v>
      </c>
      <c r="E54" s="2">
        <v>106.69</v>
      </c>
    </row>
    <row r="55" spans="3:6" x14ac:dyDescent="0.3">
      <c r="C55" s="1">
        <v>42923</v>
      </c>
      <c r="D55">
        <f>(C55-$B$1)/365.25</f>
        <v>23.060917180013689</v>
      </c>
      <c r="E55" s="2">
        <v>107.38</v>
      </c>
    </row>
    <row r="56" spans="3:6" x14ac:dyDescent="0.3">
      <c r="C56" s="1">
        <v>42924</v>
      </c>
      <c r="D56">
        <f>(C56-$B$1)/365.25</f>
        <v>23.06365503080082</v>
      </c>
      <c r="E56" s="2">
        <v>105.23</v>
      </c>
    </row>
    <row r="57" spans="3:6" x14ac:dyDescent="0.3">
      <c r="C57" s="1">
        <v>42932</v>
      </c>
      <c r="D57">
        <f>(C57-$B$1)/365.25</f>
        <v>23.085557837097877</v>
      </c>
      <c r="E57" s="2">
        <v>105.01</v>
      </c>
    </row>
    <row r="58" spans="3:6" x14ac:dyDescent="0.3">
      <c r="C58" s="1">
        <v>42937</v>
      </c>
      <c r="D58">
        <f>(C58-$B$1)/365.25</f>
        <v>23.09924709103354</v>
      </c>
      <c r="E58" s="2">
        <v>104.41</v>
      </c>
    </row>
    <row r="59" spans="3:6" x14ac:dyDescent="0.3">
      <c r="C59" s="1">
        <v>42952</v>
      </c>
      <c r="D59">
        <f>(C59-$B$1)/365.25</f>
        <v>23.140314852840522</v>
      </c>
      <c r="E59" s="2">
        <v>105.69</v>
      </c>
    </row>
    <row r="60" spans="3:6" x14ac:dyDescent="0.3">
      <c r="C60" s="1">
        <v>42953</v>
      </c>
      <c r="D60">
        <f>(C60-$B$1)/365.25</f>
        <v>23.143052703627653</v>
      </c>
      <c r="E60" s="2">
        <v>105.53</v>
      </c>
    </row>
    <row r="61" spans="3:6" x14ac:dyDescent="0.3">
      <c r="C61" s="1">
        <v>42955</v>
      </c>
      <c r="D61">
        <f>(C61-$B$1)/365.25</f>
        <v>23.148528405201915</v>
      </c>
      <c r="E61" s="2">
        <v>107.09</v>
      </c>
    </row>
    <row r="62" spans="3:6" x14ac:dyDescent="0.3">
      <c r="C62" s="1">
        <v>42967</v>
      </c>
      <c r="D62">
        <f>(C62-$B$1)/365.25</f>
        <v>23.1813826146475</v>
      </c>
      <c r="E62" s="2">
        <v>105.39</v>
      </c>
    </row>
    <row r="63" spans="3:6" x14ac:dyDescent="0.3">
      <c r="C63" s="1">
        <v>43232</v>
      </c>
      <c r="D63">
        <f>(C63-$B$1)/365.25</f>
        <v>23.906913073237508</v>
      </c>
      <c r="E63" s="2">
        <v>105.78</v>
      </c>
    </row>
    <row r="64" spans="3:6" x14ac:dyDescent="0.3">
      <c r="C64" s="1">
        <v>43239</v>
      </c>
      <c r="D64">
        <f>(C64-$B$1)/365.25</f>
        <v>23.926078028747433</v>
      </c>
      <c r="E64" s="2">
        <v>105.18</v>
      </c>
      <c r="F64" s="4"/>
    </row>
    <row r="65" spans="3:7" x14ac:dyDescent="0.3">
      <c r="C65" s="1">
        <v>43251</v>
      </c>
      <c r="D65">
        <f>(C65-$B$1)/365.25</f>
        <v>23.958932238193018</v>
      </c>
      <c r="E65" s="2">
        <v>104.99</v>
      </c>
    </row>
    <row r="66" spans="3:7" x14ac:dyDescent="0.3">
      <c r="C66" s="1">
        <v>43287</v>
      </c>
      <c r="D66">
        <f>(C66-$B$1)/365.25</f>
        <v>24.057494866529773</v>
      </c>
      <c r="E66" s="2">
        <v>109.83</v>
      </c>
      <c r="G66" s="1"/>
    </row>
    <row r="67" spans="3:7" x14ac:dyDescent="0.3">
      <c r="C67" s="1">
        <v>43289</v>
      </c>
      <c r="D67">
        <f>(C67-$B$1)/365.25</f>
        <v>24.062970568104038</v>
      </c>
      <c r="E67" s="2">
        <v>106.42</v>
      </c>
      <c r="G67" s="1"/>
    </row>
    <row r="68" spans="3:7" x14ac:dyDescent="0.3">
      <c r="C68" s="1">
        <v>43301</v>
      </c>
      <c r="D68">
        <f>(C68-$B$1)/365.25</f>
        <v>24.095824777549623</v>
      </c>
      <c r="E68" s="2">
        <v>103.2</v>
      </c>
    </row>
    <row r="69" spans="3:7" x14ac:dyDescent="0.3">
      <c r="C69" s="1">
        <v>43323</v>
      </c>
      <c r="D69">
        <f>(C69-$B$1)/365.25</f>
        <v>24.156057494866531</v>
      </c>
      <c r="E69" s="2">
        <v>106.14</v>
      </c>
    </row>
    <row r="70" spans="3:7" x14ac:dyDescent="0.3">
      <c r="C70" s="1">
        <v>43330</v>
      </c>
      <c r="D70">
        <f>(C70-$B$1)/365.25</f>
        <v>24.175222450376456</v>
      </c>
      <c r="E70" s="2">
        <v>105.78</v>
      </c>
    </row>
    <row r="71" spans="3:7" x14ac:dyDescent="0.3">
      <c r="C71" s="1">
        <v>43616</v>
      </c>
      <c r="D71">
        <f>(C71-$B$1)/365.25</f>
        <v>24.958247775496236</v>
      </c>
      <c r="E71" s="2">
        <v>105.04</v>
      </c>
    </row>
    <row r="72" spans="3:7" x14ac:dyDescent="0.3">
      <c r="C72" s="1">
        <v>43622</v>
      </c>
      <c r="D72">
        <f>(C72-$B$1)/365.25</f>
        <v>24.974674880219027</v>
      </c>
      <c r="E72" s="2">
        <v>103.9</v>
      </c>
    </row>
    <row r="73" spans="3:7" x14ac:dyDescent="0.3">
      <c r="C73" s="1">
        <v>43651</v>
      </c>
      <c r="D73">
        <f>(C73-$B$1)/365.25</f>
        <v>25.054072553045859</v>
      </c>
      <c r="E73" s="2">
        <v>104.14</v>
      </c>
    </row>
    <row r="74" spans="3:7" x14ac:dyDescent="0.3">
      <c r="C74" s="1">
        <v>43658</v>
      </c>
      <c r="D74">
        <f>(C74-$B$1)/365.25</f>
        <v>25.073237508555785</v>
      </c>
      <c r="E74" s="2">
        <v>103.83</v>
      </c>
    </row>
    <row r="75" spans="3:7" x14ac:dyDescent="0.3">
      <c r="C75" s="1">
        <v>43672</v>
      </c>
      <c r="D75">
        <f>(C75-$B$1)/365.25</f>
        <v>25.111567419575632</v>
      </c>
      <c r="E75" s="2">
        <v>109.7</v>
      </c>
      <c r="F75" s="4"/>
    </row>
    <row r="76" spans="3:7" x14ac:dyDescent="0.3">
      <c r="C76" s="1">
        <v>43673</v>
      </c>
      <c r="D76">
        <f>(C76-$B$1)/365.25</f>
        <v>25.114305270362767</v>
      </c>
      <c r="E76" s="2">
        <v>104.63</v>
      </c>
    </row>
    <row r="77" spans="3:7" x14ac:dyDescent="0.3">
      <c r="C77" s="1">
        <v>43701</v>
      </c>
      <c r="D77">
        <f>(C77-$B$1)/365.25</f>
        <v>25.190965092402465</v>
      </c>
      <c r="E77" s="2">
        <v>103.78</v>
      </c>
    </row>
    <row r="78" spans="3:7" x14ac:dyDescent="0.3">
      <c r="C78" s="1">
        <v>43706</v>
      </c>
      <c r="D78">
        <f>(C78-$B$1)/365.25</f>
        <v>25.204654346338124</v>
      </c>
      <c r="E78" s="2">
        <v>103.51</v>
      </c>
    </row>
    <row r="79" spans="3:7" x14ac:dyDescent="0.3">
      <c r="C79" s="1">
        <v>43736</v>
      </c>
      <c r="D79">
        <f>(C79-$B$1)/365.25</f>
        <v>25.286789869952088</v>
      </c>
      <c r="E79" s="2">
        <v>105.96</v>
      </c>
    </row>
    <row r="80" spans="3:7" x14ac:dyDescent="0.3">
      <c r="C80" s="1">
        <v>43737</v>
      </c>
      <c r="D80">
        <f>(C80-$B$1)/365.25</f>
        <v>25.289527720739219</v>
      </c>
      <c r="E80" s="2">
        <v>106.21</v>
      </c>
    </row>
    <row r="83" spans="6:6" x14ac:dyDescent="0.3">
      <c r="F83" s="4"/>
    </row>
  </sheetData>
  <sortState xmlns:xlrd2="http://schemas.microsoft.com/office/spreadsheetml/2017/richdata2" ref="C2:E14">
    <sortCondition ref="C2:C14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1062D-4486-455F-BC2C-5B7278C377ED}">
  <dimension ref="A1:W110"/>
  <sheetViews>
    <sheetView topLeftCell="C13" workbookViewId="0">
      <selection activeCell="K24" sqref="K24:O26"/>
    </sheetView>
  </sheetViews>
  <sheetFormatPr defaultRowHeight="14.4" x14ac:dyDescent="0.3"/>
  <cols>
    <col min="1" max="1" width="9.44140625" bestFit="1" customWidth="1"/>
    <col min="2" max="2" width="9.88671875" bestFit="1" customWidth="1"/>
    <col min="5" max="5" width="13.88671875" bestFit="1" customWidth="1"/>
    <col min="8" max="8" width="40.88671875" bestFit="1" customWidth="1"/>
    <col min="9" max="10" width="9" bestFit="1" customWidth="1"/>
    <col min="11" max="11" width="40.88671875" bestFit="1" customWidth="1"/>
    <col min="12" max="13" width="9" bestFit="1" customWidth="1"/>
    <col min="14" max="14" width="7" bestFit="1" customWidth="1"/>
    <col min="15" max="15" width="9.6640625" bestFit="1" customWidth="1"/>
    <col min="16" max="16" width="15.88671875" bestFit="1" customWidth="1"/>
    <col min="17" max="17" width="10.33203125" bestFit="1" customWidth="1"/>
    <col min="18" max="18" width="21" bestFit="1" customWidth="1"/>
    <col min="19" max="19" width="17.44140625" bestFit="1" customWidth="1"/>
    <col min="20" max="20" width="32.5546875" bestFit="1" customWidth="1"/>
    <col min="21" max="21" width="21" bestFit="1" customWidth="1"/>
    <col min="22" max="22" width="17.44140625" bestFit="1" customWidth="1"/>
    <col min="23" max="23" width="32.5546875" bestFit="1" customWidth="1"/>
  </cols>
  <sheetData>
    <row r="1" spans="1:23" x14ac:dyDescent="0.3">
      <c r="A1" s="1">
        <v>32494</v>
      </c>
      <c r="B1" t="s">
        <v>1</v>
      </c>
      <c r="C1" t="s">
        <v>3</v>
      </c>
      <c r="D1" t="s">
        <v>0</v>
      </c>
      <c r="E1" t="s">
        <v>22</v>
      </c>
    </row>
    <row r="2" spans="1:23" x14ac:dyDescent="0.3">
      <c r="B2" s="1">
        <v>38518</v>
      </c>
      <c r="C2" s="5">
        <f>(B2-$A$1)/365.25</f>
        <v>16.492813141683779</v>
      </c>
      <c r="D2" s="2">
        <v>111.2</v>
      </c>
      <c r="E2" s="7">
        <v>111.2</v>
      </c>
      <c r="P2" t="s">
        <v>4</v>
      </c>
      <c r="Q2" t="s">
        <v>7</v>
      </c>
      <c r="R2" t="s">
        <v>24</v>
      </c>
      <c r="S2" t="s">
        <v>25</v>
      </c>
      <c r="T2" t="s">
        <v>8</v>
      </c>
      <c r="U2" t="s">
        <v>26</v>
      </c>
      <c r="V2" t="s">
        <v>27</v>
      </c>
      <c r="W2" t="s">
        <v>8</v>
      </c>
    </row>
    <row r="3" spans="1:23" x14ac:dyDescent="0.3">
      <c r="B3" s="1">
        <v>38899</v>
      </c>
      <c r="C3" s="5">
        <f t="shared" ref="C3:C110" si="0">(B3-$A$1)/365.25</f>
        <v>17.535934291581111</v>
      </c>
      <c r="D3" s="2">
        <v>106.3</v>
      </c>
      <c r="E3" s="4">
        <f>AVERAGE(D3:D7)</f>
        <v>107.51200000000001</v>
      </c>
      <c r="P3">
        <v>2006</v>
      </c>
      <c r="Q3">
        <v>6</v>
      </c>
      <c r="R3">
        <v>1537.6859999999999</v>
      </c>
      <c r="S3">
        <v>216447.41</v>
      </c>
      <c r="T3" s="2">
        <f>S3/R3</f>
        <v>140.76177451053076</v>
      </c>
      <c r="U3">
        <v>3286.1039999999998</v>
      </c>
      <c r="V3" s="6">
        <v>682600.38699999999</v>
      </c>
      <c r="W3" s="2">
        <f>V3/U3</f>
        <v>207.72330607917462</v>
      </c>
    </row>
    <row r="4" spans="1:23" x14ac:dyDescent="0.3">
      <c r="B4" s="1">
        <v>38920</v>
      </c>
      <c r="C4" s="5">
        <f t="shared" si="0"/>
        <v>17.593429158110883</v>
      </c>
      <c r="D4" s="2">
        <v>107.5</v>
      </c>
      <c r="P4">
        <v>2007</v>
      </c>
      <c r="Q4">
        <v>14</v>
      </c>
      <c r="R4">
        <v>54.408799999999999</v>
      </c>
      <c r="S4">
        <v>1766.4724000000001</v>
      </c>
      <c r="T4" s="2">
        <f t="shared" ref="T4:T15" si="1">S4/R4</f>
        <v>32.466667156783465</v>
      </c>
      <c r="U4" s="6">
        <v>131.70529999999999</v>
      </c>
      <c r="V4" s="6">
        <v>5819.0864000000001</v>
      </c>
      <c r="W4" s="2">
        <f t="shared" ref="W4:W14" si="2">V4/U4</f>
        <v>44.182628945076623</v>
      </c>
    </row>
    <row r="5" spans="1:23" x14ac:dyDescent="0.3">
      <c r="B5" s="1">
        <v>38944</v>
      </c>
      <c r="C5" s="5">
        <f t="shared" si="0"/>
        <v>17.659137577002053</v>
      </c>
      <c r="D5" s="2">
        <v>109.12</v>
      </c>
      <c r="P5">
        <v>2008</v>
      </c>
      <c r="Q5">
        <v>23</v>
      </c>
      <c r="R5">
        <v>72.6648</v>
      </c>
      <c r="S5">
        <v>93.044399999999996</v>
      </c>
      <c r="T5" s="2">
        <f t="shared" si="1"/>
        <v>1.2804604154969117</v>
      </c>
      <c r="U5" s="6">
        <v>171.09630000000001</v>
      </c>
      <c r="V5" s="6">
        <v>396.76589999999999</v>
      </c>
      <c r="W5" s="2">
        <f t="shared" si="2"/>
        <v>2.3189624790249699</v>
      </c>
    </row>
    <row r="6" spans="1:23" x14ac:dyDescent="0.3">
      <c r="B6" s="1">
        <v>38945</v>
      </c>
      <c r="C6" s="5">
        <f t="shared" si="0"/>
        <v>17.661875427789184</v>
      </c>
      <c r="D6" s="2">
        <v>107.24</v>
      </c>
      <c r="P6">
        <v>2009</v>
      </c>
      <c r="Q6">
        <v>34</v>
      </c>
      <c r="R6">
        <v>13.106</v>
      </c>
      <c r="S6">
        <v>180.0652</v>
      </c>
      <c r="T6" s="2">
        <f t="shared" si="1"/>
        <v>13.739142377537007</v>
      </c>
      <c r="U6" s="6">
        <v>35.478999999999999</v>
      </c>
      <c r="V6" s="6">
        <v>688.11069999999995</v>
      </c>
      <c r="W6" s="2">
        <f t="shared" si="2"/>
        <v>19.394873023478677</v>
      </c>
    </row>
    <row r="7" spans="1:23" x14ac:dyDescent="0.3">
      <c r="B7" s="1">
        <v>38947</v>
      </c>
      <c r="C7" s="5">
        <f t="shared" si="0"/>
        <v>17.66735112936345</v>
      </c>
      <c r="D7" s="2">
        <v>107.4</v>
      </c>
      <c r="P7">
        <v>2010</v>
      </c>
      <c r="Q7">
        <v>50</v>
      </c>
      <c r="R7">
        <v>2.758</v>
      </c>
      <c r="S7">
        <v>86.697999999999993</v>
      </c>
      <c r="T7" s="2">
        <f t="shared" si="1"/>
        <v>31.435097897026829</v>
      </c>
      <c r="U7" s="6">
        <v>2.3029999999999999</v>
      </c>
      <c r="V7" s="6">
        <v>346.27749999999997</v>
      </c>
      <c r="W7" s="2">
        <f t="shared" si="2"/>
        <v>150.35931393834127</v>
      </c>
    </row>
    <row r="8" spans="1:23" x14ac:dyDescent="0.3">
      <c r="B8" s="1">
        <v>39213</v>
      </c>
      <c r="C8" s="5">
        <f t="shared" si="0"/>
        <v>18.395619438740589</v>
      </c>
      <c r="D8" s="2">
        <v>105.63</v>
      </c>
      <c r="E8" s="4">
        <f>AVERAGE(D8:D15)</f>
        <v>106.00124999999998</v>
      </c>
      <c r="P8">
        <v>2011</v>
      </c>
      <c r="Q8">
        <v>65</v>
      </c>
      <c r="R8">
        <v>1.9044000000000001</v>
      </c>
      <c r="S8">
        <v>4.3727999999999998</v>
      </c>
      <c r="T8" s="2">
        <f t="shared" si="1"/>
        <v>2.2961562696912412</v>
      </c>
      <c r="U8" s="6">
        <v>9.3884000000000007</v>
      </c>
      <c r="V8" s="6">
        <v>19.953299999999999</v>
      </c>
      <c r="W8" s="2">
        <f t="shared" si="2"/>
        <v>2.1253142175450552</v>
      </c>
    </row>
    <row r="9" spans="1:23" x14ac:dyDescent="0.3">
      <c r="B9" s="1">
        <v>39247</v>
      </c>
      <c r="C9" s="5">
        <f t="shared" si="0"/>
        <v>18.488706365503081</v>
      </c>
      <c r="D9" s="2">
        <v>107.3</v>
      </c>
      <c r="P9">
        <v>2012</v>
      </c>
      <c r="Q9">
        <v>74</v>
      </c>
      <c r="R9">
        <v>1.2436</v>
      </c>
      <c r="S9">
        <v>10.9132</v>
      </c>
      <c r="T9" s="2">
        <f t="shared" si="1"/>
        <v>8.7754905114184627</v>
      </c>
      <c r="U9" s="6">
        <v>1.0328999999999999</v>
      </c>
      <c r="V9" s="6">
        <v>46.977200000000003</v>
      </c>
      <c r="W9" s="2">
        <f t="shared" si="2"/>
        <v>45.480879078323177</v>
      </c>
    </row>
    <row r="10" spans="1:23" x14ac:dyDescent="0.3">
      <c r="B10" s="1">
        <v>39265</v>
      </c>
      <c r="C10" s="5">
        <f t="shared" si="0"/>
        <v>18.537987679671456</v>
      </c>
      <c r="D10" s="2">
        <v>105.1</v>
      </c>
      <c r="P10">
        <v>2013</v>
      </c>
      <c r="Q10">
        <v>76</v>
      </c>
      <c r="R10">
        <v>0.36480000000000001</v>
      </c>
      <c r="S10">
        <v>0.58479999999999999</v>
      </c>
      <c r="T10" s="2">
        <f t="shared" si="1"/>
        <v>1.6030701754385963</v>
      </c>
      <c r="U10" s="6">
        <v>5.4847999999999999</v>
      </c>
      <c r="V10" s="6">
        <v>4.7000000000000002E-3</v>
      </c>
      <c r="W10" s="8">
        <f t="shared" si="2"/>
        <v>8.5691365227537927E-4</v>
      </c>
    </row>
    <row r="11" spans="1:23" x14ac:dyDescent="0.3">
      <c r="B11" s="1">
        <v>39273</v>
      </c>
      <c r="C11" s="5">
        <f t="shared" si="0"/>
        <v>18.559890485968516</v>
      </c>
      <c r="D11" s="2">
        <v>105.82</v>
      </c>
      <c r="P11">
        <v>2014</v>
      </c>
      <c r="Q11">
        <v>84</v>
      </c>
      <c r="R11">
        <v>2.4803999999999999</v>
      </c>
      <c r="S11">
        <v>3.8730000000000002</v>
      </c>
      <c r="T11" s="2">
        <f t="shared" si="1"/>
        <v>1.5614417029511369</v>
      </c>
      <c r="U11" s="6">
        <v>11.4634</v>
      </c>
      <c r="V11" s="6">
        <v>23.226500000000001</v>
      </c>
      <c r="W11" s="2">
        <f t="shared" si="2"/>
        <v>2.0261440759286078</v>
      </c>
    </row>
    <row r="12" spans="1:23" x14ac:dyDescent="0.3">
      <c r="B12" s="1">
        <v>39305</v>
      </c>
      <c r="C12" s="5">
        <f t="shared" si="0"/>
        <v>18.647501711156742</v>
      </c>
      <c r="D12" s="2">
        <v>108.09</v>
      </c>
      <c r="P12">
        <v>2015</v>
      </c>
      <c r="Q12">
        <v>95</v>
      </c>
      <c r="R12">
        <v>2.3883999999999999</v>
      </c>
      <c r="S12">
        <v>2.9163999999999999</v>
      </c>
      <c r="T12" s="2">
        <f t="shared" si="1"/>
        <v>1.2210684977390722</v>
      </c>
      <c r="U12" s="6">
        <v>11.1714</v>
      </c>
      <c r="V12" s="6">
        <v>16.704899999999999</v>
      </c>
      <c r="W12" s="2">
        <f t="shared" si="2"/>
        <v>1.4953273537783982</v>
      </c>
    </row>
    <row r="13" spans="1:23" x14ac:dyDescent="0.3">
      <c r="B13" s="1">
        <v>39306</v>
      </c>
      <c r="C13" s="5">
        <f t="shared" si="0"/>
        <v>18.650239561943874</v>
      </c>
      <c r="D13" s="2">
        <v>106.41</v>
      </c>
      <c r="P13">
        <v>2016</v>
      </c>
      <c r="Q13">
        <v>106</v>
      </c>
      <c r="R13">
        <v>0.92479999999999996</v>
      </c>
      <c r="S13">
        <v>0.2104</v>
      </c>
      <c r="T13" s="2">
        <f t="shared" si="1"/>
        <v>0.22750865051903116</v>
      </c>
      <c r="U13" s="6">
        <v>6.3822999999999999</v>
      </c>
      <c r="V13" s="6">
        <v>4.0251000000000001</v>
      </c>
      <c r="W13" s="2">
        <f t="shared" si="2"/>
        <v>0.63066606082446774</v>
      </c>
    </row>
    <row r="14" spans="1:23" x14ac:dyDescent="0.3">
      <c r="B14" s="1">
        <v>39332</v>
      </c>
      <c r="C14" s="5">
        <f t="shared" si="0"/>
        <v>18.721423682409309</v>
      </c>
      <c r="D14" s="2">
        <v>105.51</v>
      </c>
      <c r="P14">
        <v>2017</v>
      </c>
      <c r="Q14">
        <v>109</v>
      </c>
      <c r="R14">
        <v>0.71879999999999999</v>
      </c>
      <c r="S14">
        <v>0.67</v>
      </c>
      <c r="T14" s="2">
        <f t="shared" si="1"/>
        <v>0.93210907067334448</v>
      </c>
      <c r="U14" s="6">
        <v>5.7083000000000004</v>
      </c>
      <c r="V14" s="6">
        <v>4.8464999999999998</v>
      </c>
      <c r="W14" s="2">
        <f t="shared" si="2"/>
        <v>0.84902685563127367</v>
      </c>
    </row>
    <row r="15" spans="1:23" x14ac:dyDescent="0.3">
      <c r="B15" s="1">
        <v>39339</v>
      </c>
      <c r="C15" s="5">
        <f t="shared" si="0"/>
        <v>18.740588637919235</v>
      </c>
      <c r="D15" s="2">
        <v>104.15</v>
      </c>
      <c r="T15" s="2"/>
    </row>
    <row r="16" spans="1:23" x14ac:dyDescent="0.3">
      <c r="B16" s="1">
        <v>39550</v>
      </c>
      <c r="C16" s="5">
        <f t="shared" si="0"/>
        <v>19.318275154004105</v>
      </c>
      <c r="D16" s="2">
        <v>107</v>
      </c>
      <c r="E16" s="4">
        <f>AVERAGE(D16:D24)</f>
        <v>106.42000000000002</v>
      </c>
    </row>
    <row r="17" spans="2:20" x14ac:dyDescent="0.3">
      <c r="B17" s="1">
        <v>39556</v>
      </c>
      <c r="C17" s="5">
        <f t="shared" si="0"/>
        <v>19.3347022587269</v>
      </c>
      <c r="D17" s="2">
        <v>107.9</v>
      </c>
      <c r="Q17">
        <v>28</v>
      </c>
      <c r="R17">
        <v>28</v>
      </c>
      <c r="S17">
        <v>33</v>
      </c>
      <c r="T17">
        <v>33</v>
      </c>
    </row>
    <row r="18" spans="2:20" x14ac:dyDescent="0.3">
      <c r="B18" s="1">
        <v>39557</v>
      </c>
      <c r="C18" s="5">
        <f t="shared" si="0"/>
        <v>19.337440109514031</v>
      </c>
      <c r="D18" s="2">
        <v>104.38</v>
      </c>
      <c r="Q18">
        <f>0.0964*Q17^2-4.6271*Q17+159.27</f>
        <v>105.28879999999999</v>
      </c>
      <c r="R18">
        <f>-0.0101*R17^3+0.7808*R17^2-19.959*R17+272.32</f>
        <v>103.90000000000003</v>
      </c>
      <c r="S18">
        <f>0.0964*S17^2-4.6271*S17+159.27</f>
        <v>111.55529999999999</v>
      </c>
      <c r="T18">
        <f>-0.0101*T17^3+0.7808*T17^2-19.959*T17+272.32</f>
        <v>101.0005000000001</v>
      </c>
    </row>
    <row r="19" spans="2:20" x14ac:dyDescent="0.3">
      <c r="B19" s="1">
        <v>39568</v>
      </c>
      <c r="C19" s="5">
        <f t="shared" si="0"/>
        <v>19.367556468172484</v>
      </c>
      <c r="D19" s="2">
        <v>112.93</v>
      </c>
      <c r="Q19">
        <f>Q18-104.57</f>
        <v>0.71880000000000166</v>
      </c>
      <c r="R19">
        <f>R18-104.57</f>
        <v>-0.66999999999995907</v>
      </c>
      <c r="S19">
        <f>S18-105.847</f>
        <v>5.7082999999999942</v>
      </c>
      <c r="T19">
        <f>T18-105.847</f>
        <v>-4.8464999999998923</v>
      </c>
    </row>
    <row r="20" spans="2:20" x14ac:dyDescent="0.3">
      <c r="B20" s="1">
        <v>39569</v>
      </c>
      <c r="C20" s="5">
        <f t="shared" si="0"/>
        <v>19.370294318959616</v>
      </c>
      <c r="D20" s="2">
        <v>108.82</v>
      </c>
    </row>
    <row r="21" spans="2:20" x14ac:dyDescent="0.3">
      <c r="B21" s="1">
        <v>39570</v>
      </c>
      <c r="C21" s="5">
        <f t="shared" si="0"/>
        <v>19.37303216974675</v>
      </c>
      <c r="D21" s="2">
        <v>104.2</v>
      </c>
    </row>
    <row r="22" spans="2:20" x14ac:dyDescent="0.3">
      <c r="B22" s="1">
        <v>39577</v>
      </c>
      <c r="C22" s="5">
        <f t="shared" si="0"/>
        <v>19.392197125256672</v>
      </c>
      <c r="D22" s="2">
        <v>104.36</v>
      </c>
    </row>
    <row r="23" spans="2:20" x14ac:dyDescent="0.3">
      <c r="B23" s="1">
        <v>39605</v>
      </c>
      <c r="C23" s="5">
        <f t="shared" si="0"/>
        <v>19.468856947296374</v>
      </c>
      <c r="D23" s="2">
        <v>103.72</v>
      </c>
    </row>
    <row r="24" spans="2:20" x14ac:dyDescent="0.3">
      <c r="B24" s="1">
        <v>39611</v>
      </c>
      <c r="C24" s="5">
        <f t="shared" si="0"/>
        <v>19.485284052019164</v>
      </c>
      <c r="D24" s="2">
        <v>104.47</v>
      </c>
      <c r="H24" t="s">
        <v>9</v>
      </c>
      <c r="I24" t="s">
        <v>21</v>
      </c>
      <c r="K24" t="s">
        <v>15</v>
      </c>
      <c r="L24" t="s">
        <v>12</v>
      </c>
      <c r="M24" t="s">
        <v>13</v>
      </c>
      <c r="N24" t="s">
        <v>14</v>
      </c>
    </row>
    <row r="25" spans="2:20" x14ac:dyDescent="0.3">
      <c r="B25" s="1">
        <v>39941</v>
      </c>
      <c r="C25" s="5">
        <f t="shared" si="0"/>
        <v>20.388774811772759</v>
      </c>
      <c r="D25" s="2">
        <v>104.78</v>
      </c>
      <c r="E25" s="4">
        <f>AVERAGE(D25:D35)</f>
        <v>105.08272727272725</v>
      </c>
      <c r="H25">
        <v>17</v>
      </c>
      <c r="I25" s="7">
        <v>111.2</v>
      </c>
      <c r="K25" t="s">
        <v>10</v>
      </c>
      <c r="L25">
        <f>0.1057*P25^2-5.2067*P25+167.83</f>
        <v>104.91120000000002</v>
      </c>
      <c r="M25">
        <f>-0.0126*P25^3+0.973*P25^2-24.841*P25+313.54</f>
        <v>104.22880000000004</v>
      </c>
      <c r="N25">
        <f>0.0002*P25^4-0.0331*P25^3+1.6729*P25^2-35.331*P25+371.81</f>
        <v>90.415599999999984</v>
      </c>
      <c r="O25" s="5" t="s">
        <v>18</v>
      </c>
      <c r="P25">
        <v>28</v>
      </c>
    </row>
    <row r="26" spans="2:20" x14ac:dyDescent="0.3">
      <c r="B26" s="1">
        <v>39965</v>
      </c>
      <c r="C26" s="5">
        <f t="shared" si="0"/>
        <v>20.454483230663929</v>
      </c>
      <c r="D26" s="2">
        <v>103.53</v>
      </c>
      <c r="H26">
        <v>18</v>
      </c>
      <c r="I26" s="7">
        <v>107.51</v>
      </c>
      <c r="K26" t="s">
        <v>11</v>
      </c>
      <c r="L26">
        <f>0.1057*P26^2-5.2067*P26+167.83</f>
        <v>111.11620000000002</v>
      </c>
      <c r="M26">
        <f>-0.0126*P26^3+0.973*P26^2-24.841*P26+313.54</f>
        <v>100.57779999999997</v>
      </c>
      <c r="N26">
        <f>0.0002*P26^4-0.0331*P26^3+1.6729*P26^2-35.331*P26+371.81</f>
        <v>75.344600000000071</v>
      </c>
      <c r="O26" t="s">
        <v>23</v>
      </c>
      <c r="P26">
        <v>33</v>
      </c>
    </row>
    <row r="27" spans="2:20" x14ac:dyDescent="0.3">
      <c r="B27" s="1">
        <v>39981</v>
      </c>
      <c r="C27" s="5">
        <f t="shared" si="0"/>
        <v>20.498288843258042</v>
      </c>
      <c r="D27" s="2">
        <v>104.09</v>
      </c>
      <c r="H27">
        <v>19</v>
      </c>
      <c r="I27" s="7">
        <v>106</v>
      </c>
      <c r="L27">
        <f>(L26+M26)/2</f>
        <v>105.84699999999999</v>
      </c>
      <c r="M27">
        <f>(L25+M25)/2</f>
        <v>104.57000000000002</v>
      </c>
    </row>
    <row r="28" spans="2:20" x14ac:dyDescent="0.3">
      <c r="B28" s="1">
        <v>39991</v>
      </c>
      <c r="C28" s="5">
        <f t="shared" si="0"/>
        <v>20.525667351129364</v>
      </c>
      <c r="D28" s="2">
        <v>107.1</v>
      </c>
      <c r="H28">
        <v>20</v>
      </c>
      <c r="I28" s="7">
        <v>106.42</v>
      </c>
    </row>
    <row r="29" spans="2:20" x14ac:dyDescent="0.3">
      <c r="B29" s="1">
        <v>40019</v>
      </c>
      <c r="C29" s="5">
        <f t="shared" si="0"/>
        <v>20.602327173169062</v>
      </c>
      <c r="D29" s="2">
        <v>107</v>
      </c>
      <c r="H29">
        <v>21</v>
      </c>
      <c r="I29" s="7">
        <v>105.08</v>
      </c>
    </row>
    <row r="30" spans="2:20" x14ac:dyDescent="0.3">
      <c r="B30" s="1">
        <v>40045</v>
      </c>
      <c r="C30" s="5">
        <f t="shared" si="0"/>
        <v>20.673511293634498</v>
      </c>
      <c r="D30" s="2">
        <v>107.83</v>
      </c>
      <c r="H30">
        <v>22</v>
      </c>
      <c r="I30" s="7">
        <v>103.86</v>
      </c>
    </row>
    <row r="31" spans="2:20" x14ac:dyDescent="0.3">
      <c r="B31" s="1">
        <v>40046</v>
      </c>
      <c r="C31" s="5">
        <f t="shared" si="0"/>
        <v>20.676249144421629</v>
      </c>
      <c r="D31" s="2">
        <v>105.4</v>
      </c>
      <c r="H31">
        <v>23</v>
      </c>
      <c r="I31" s="7">
        <v>104.06</v>
      </c>
    </row>
    <row r="32" spans="2:20" x14ac:dyDescent="0.3">
      <c r="B32" s="1">
        <v>40053</v>
      </c>
      <c r="C32" s="5">
        <f t="shared" si="0"/>
        <v>20.695414099931554</v>
      </c>
      <c r="D32" s="2">
        <v>103.52</v>
      </c>
      <c r="H32">
        <v>24</v>
      </c>
      <c r="I32" s="7">
        <v>102.98</v>
      </c>
    </row>
    <row r="33" spans="2:9" x14ac:dyDescent="0.3">
      <c r="B33" s="1">
        <v>40060</v>
      </c>
      <c r="C33" s="5">
        <f t="shared" si="0"/>
        <v>20.714579055441479</v>
      </c>
      <c r="D33" s="2">
        <v>105.8</v>
      </c>
      <c r="H33">
        <v>25</v>
      </c>
      <c r="I33" s="7">
        <v>104.51</v>
      </c>
    </row>
    <row r="34" spans="2:9" x14ac:dyDescent="0.3">
      <c r="B34" s="1">
        <v>40062</v>
      </c>
      <c r="C34" s="5">
        <f t="shared" si="0"/>
        <v>20.720054757015742</v>
      </c>
      <c r="D34" s="2">
        <v>102.01</v>
      </c>
      <c r="H34">
        <v>26</v>
      </c>
      <c r="I34" s="7">
        <v>104.85</v>
      </c>
    </row>
    <row r="35" spans="2:9" x14ac:dyDescent="0.3">
      <c r="B35" s="1">
        <v>40068</v>
      </c>
      <c r="C35" s="5">
        <f t="shared" si="0"/>
        <v>20.736481861738536</v>
      </c>
      <c r="D35" s="2">
        <v>104.85</v>
      </c>
      <c r="H35">
        <v>27</v>
      </c>
      <c r="I35" s="7">
        <v>105.26</v>
      </c>
    </row>
    <row r="36" spans="2:9" x14ac:dyDescent="0.3">
      <c r="B36" s="1">
        <v>40241</v>
      </c>
      <c r="C36" s="5">
        <f t="shared" si="0"/>
        <v>21.21013004791239</v>
      </c>
      <c r="D36" s="2">
        <v>103.15</v>
      </c>
      <c r="E36" s="4">
        <f>AVERAGE(D36:D51)</f>
        <v>103.85749999999999</v>
      </c>
      <c r="H36">
        <v>28</v>
      </c>
      <c r="I36" s="7">
        <v>104.27</v>
      </c>
    </row>
    <row r="37" spans="2:9" x14ac:dyDescent="0.3">
      <c r="B37" s="1">
        <v>40312</v>
      </c>
      <c r="C37" s="5">
        <f t="shared" si="0"/>
        <v>21.404517453798768</v>
      </c>
      <c r="D37" s="2">
        <v>103</v>
      </c>
      <c r="H37">
        <v>29</v>
      </c>
      <c r="I37" s="7">
        <v>105.05</v>
      </c>
    </row>
    <row r="38" spans="2:9" x14ac:dyDescent="0.3">
      <c r="B38" s="1">
        <v>40325</v>
      </c>
      <c r="C38" s="5">
        <f t="shared" si="0"/>
        <v>21.440109514031484</v>
      </c>
      <c r="D38" s="2">
        <v>104.03</v>
      </c>
    </row>
    <row r="39" spans="2:9" x14ac:dyDescent="0.3">
      <c r="B39" s="1">
        <v>40333</v>
      </c>
      <c r="C39" s="5">
        <f t="shared" si="0"/>
        <v>21.462012320328544</v>
      </c>
      <c r="D39" s="2">
        <v>102.04</v>
      </c>
    </row>
    <row r="40" spans="2:9" x14ac:dyDescent="0.3">
      <c r="B40" s="1">
        <v>40353</v>
      </c>
      <c r="C40" s="5">
        <f t="shared" si="0"/>
        <v>21.516769336071185</v>
      </c>
      <c r="D40" s="2">
        <v>106.1</v>
      </c>
    </row>
    <row r="41" spans="2:9" x14ac:dyDescent="0.3">
      <c r="B41" s="1">
        <v>40354</v>
      </c>
      <c r="C41" s="5">
        <f t="shared" si="0"/>
        <v>21.519507186858316</v>
      </c>
      <c r="D41" s="2">
        <v>105.51</v>
      </c>
    </row>
    <row r="42" spans="2:9" x14ac:dyDescent="0.3">
      <c r="B42" s="1">
        <v>40355</v>
      </c>
      <c r="C42" s="5">
        <f t="shared" si="0"/>
        <v>21.522245037645447</v>
      </c>
      <c r="D42" s="2">
        <v>104.23</v>
      </c>
    </row>
    <row r="43" spans="2:9" x14ac:dyDescent="0.3">
      <c r="B43" s="1">
        <v>40367</v>
      </c>
      <c r="C43" s="5">
        <f t="shared" si="0"/>
        <v>21.555099247091032</v>
      </c>
      <c r="D43" s="2">
        <v>103.25</v>
      </c>
    </row>
    <row r="44" spans="2:9" x14ac:dyDescent="0.3">
      <c r="B44" s="1">
        <v>40369</v>
      </c>
      <c r="C44" s="5">
        <f t="shared" si="0"/>
        <v>21.560574948665298</v>
      </c>
      <c r="D44" s="2">
        <v>101.51</v>
      </c>
    </row>
    <row r="45" spans="2:9" x14ac:dyDescent="0.3">
      <c r="B45" s="1">
        <v>40387</v>
      </c>
      <c r="C45" s="5">
        <f t="shared" si="0"/>
        <v>21.609856262833677</v>
      </c>
      <c r="D45" s="2">
        <v>110.51</v>
      </c>
    </row>
    <row r="46" spans="2:9" x14ac:dyDescent="0.3">
      <c r="B46" s="1">
        <v>40388</v>
      </c>
      <c r="C46" s="5">
        <f t="shared" si="0"/>
        <v>21.612594113620808</v>
      </c>
      <c r="D46" s="2">
        <v>106.58</v>
      </c>
    </row>
    <row r="47" spans="2:9" x14ac:dyDescent="0.3">
      <c r="B47" s="1">
        <v>40389</v>
      </c>
      <c r="C47" s="5">
        <f t="shared" si="0"/>
        <v>21.61533196440794</v>
      </c>
      <c r="D47" s="2">
        <v>102.84</v>
      </c>
    </row>
    <row r="48" spans="2:9" x14ac:dyDescent="0.3">
      <c r="B48" s="1">
        <v>40412</v>
      </c>
      <c r="C48" s="5">
        <f t="shared" si="0"/>
        <v>21.678302532511978</v>
      </c>
      <c r="D48" s="2">
        <v>101.09</v>
      </c>
    </row>
    <row r="49" spans="2:5" x14ac:dyDescent="0.3">
      <c r="B49" s="1">
        <v>40417</v>
      </c>
      <c r="C49" s="5">
        <f t="shared" si="0"/>
        <v>21.691991786447637</v>
      </c>
      <c r="D49" s="2">
        <v>103.5</v>
      </c>
    </row>
    <row r="50" spans="2:5" x14ac:dyDescent="0.3">
      <c r="B50" s="1">
        <v>40419</v>
      </c>
      <c r="C50" s="5">
        <f t="shared" si="0"/>
        <v>21.697467488021903</v>
      </c>
      <c r="D50" s="2">
        <v>101.01</v>
      </c>
    </row>
    <row r="51" spans="2:5" x14ac:dyDescent="0.3">
      <c r="B51" s="1">
        <v>40426</v>
      </c>
      <c r="C51" s="5">
        <f t="shared" si="0"/>
        <v>21.716632443531829</v>
      </c>
      <c r="D51" s="2">
        <v>103.37</v>
      </c>
    </row>
    <row r="52" spans="2:5" x14ac:dyDescent="0.3">
      <c r="B52" s="1">
        <v>40605</v>
      </c>
      <c r="C52" s="5">
        <f t="shared" si="0"/>
        <v>22.206707734428473</v>
      </c>
      <c r="D52" s="2">
        <v>103.88</v>
      </c>
      <c r="E52" s="4">
        <f>AVERAGE(D52:D66)</f>
        <v>104.05533333333332</v>
      </c>
    </row>
    <row r="53" spans="2:5" x14ac:dyDescent="0.3">
      <c r="B53" s="1">
        <v>40621</v>
      </c>
      <c r="C53" s="5">
        <f t="shared" si="0"/>
        <v>22.250513347022586</v>
      </c>
      <c r="D53" s="2">
        <v>104.8</v>
      </c>
    </row>
    <row r="54" spans="2:5" x14ac:dyDescent="0.3">
      <c r="B54" s="1">
        <v>40718</v>
      </c>
      <c r="C54" s="5">
        <f t="shared" si="0"/>
        <v>22.5160848733744</v>
      </c>
      <c r="D54" s="2">
        <v>103.46</v>
      </c>
    </row>
    <row r="55" spans="2:5" x14ac:dyDescent="0.3">
      <c r="B55" s="1">
        <v>40724</v>
      </c>
      <c r="C55" s="5">
        <f t="shared" si="0"/>
        <v>22.532511978097194</v>
      </c>
      <c r="D55" s="2">
        <v>104.15</v>
      </c>
    </row>
    <row r="56" spans="2:5" x14ac:dyDescent="0.3">
      <c r="B56" s="1">
        <v>40738</v>
      </c>
      <c r="C56" s="5">
        <f t="shared" si="0"/>
        <v>22.570841889117045</v>
      </c>
      <c r="D56" s="2">
        <v>106.7</v>
      </c>
    </row>
    <row r="57" spans="2:5" x14ac:dyDescent="0.3">
      <c r="B57" s="1">
        <v>40738</v>
      </c>
      <c r="C57" s="5">
        <f t="shared" si="0"/>
        <v>22.570841889117045</v>
      </c>
      <c r="D57" s="2">
        <v>105.3</v>
      </c>
    </row>
    <row r="58" spans="2:5" x14ac:dyDescent="0.3">
      <c r="B58" s="1">
        <v>40740</v>
      </c>
      <c r="C58" s="5">
        <f t="shared" si="0"/>
        <v>22.576317590691307</v>
      </c>
      <c r="D58" s="2">
        <v>103.76</v>
      </c>
    </row>
    <row r="59" spans="2:5" x14ac:dyDescent="0.3">
      <c r="B59" s="1">
        <v>40746</v>
      </c>
      <c r="C59" s="5">
        <f t="shared" si="0"/>
        <v>22.592744695414101</v>
      </c>
      <c r="D59" s="2">
        <v>102.61</v>
      </c>
    </row>
    <row r="60" spans="2:5" x14ac:dyDescent="0.3">
      <c r="B60" s="1">
        <v>40760</v>
      </c>
      <c r="C60" s="5">
        <f t="shared" si="0"/>
        <v>22.631074606433948</v>
      </c>
      <c r="D60" s="2">
        <v>102.91</v>
      </c>
    </row>
    <row r="61" spans="2:5" x14ac:dyDescent="0.3">
      <c r="B61" s="1">
        <v>40782</v>
      </c>
      <c r="C61" s="5">
        <f t="shared" si="0"/>
        <v>22.691307323750856</v>
      </c>
      <c r="D61" s="2">
        <v>106.29</v>
      </c>
    </row>
    <row r="62" spans="2:5" x14ac:dyDescent="0.3">
      <c r="B62" s="1">
        <v>40783</v>
      </c>
      <c r="C62" s="5">
        <f t="shared" si="0"/>
        <v>22.694045174537987</v>
      </c>
      <c r="D62" s="2">
        <v>104.2</v>
      </c>
    </row>
    <row r="63" spans="2:5" x14ac:dyDescent="0.3">
      <c r="B63" s="1">
        <v>40785</v>
      </c>
      <c r="C63" s="5">
        <f t="shared" si="0"/>
        <v>22.699520876112253</v>
      </c>
      <c r="D63" s="2">
        <v>103.91</v>
      </c>
    </row>
    <row r="64" spans="2:5" x14ac:dyDescent="0.3">
      <c r="B64" s="1">
        <v>40796</v>
      </c>
      <c r="C64" s="5">
        <f t="shared" si="0"/>
        <v>22.729637234770706</v>
      </c>
      <c r="D64" s="2">
        <v>101.33</v>
      </c>
    </row>
    <row r="65" spans="2:5" x14ac:dyDescent="0.3">
      <c r="B65" s="1">
        <v>40802</v>
      </c>
      <c r="C65" s="5">
        <f t="shared" si="0"/>
        <v>22.746064339493497</v>
      </c>
      <c r="D65" s="2">
        <v>103.96</v>
      </c>
    </row>
    <row r="66" spans="2:5" x14ac:dyDescent="0.3">
      <c r="B66" s="1">
        <v>40804</v>
      </c>
      <c r="C66" s="5">
        <f t="shared" si="0"/>
        <v>22.751540041067763</v>
      </c>
      <c r="D66" s="2">
        <v>103.57</v>
      </c>
    </row>
    <row r="67" spans="2:5" x14ac:dyDescent="0.3">
      <c r="B67" s="1">
        <v>40971</v>
      </c>
      <c r="C67" s="5">
        <f t="shared" si="0"/>
        <v>23.208761122518823</v>
      </c>
      <c r="D67" s="2">
        <v>104.33</v>
      </c>
      <c r="E67" s="4">
        <f>AVERAGE(D67:D75)</f>
        <v>102.97777777777777</v>
      </c>
    </row>
    <row r="68" spans="2:5" x14ac:dyDescent="0.3">
      <c r="B68" s="1">
        <v>41040</v>
      </c>
      <c r="C68" s="5">
        <f t="shared" si="0"/>
        <v>23.397672826830938</v>
      </c>
      <c r="D68" s="2">
        <v>103.1</v>
      </c>
    </row>
    <row r="69" spans="2:5" x14ac:dyDescent="0.3">
      <c r="B69" s="1">
        <v>41069</v>
      </c>
      <c r="C69" s="5">
        <f t="shared" si="0"/>
        <v>23.477070499657767</v>
      </c>
      <c r="D69" s="2">
        <v>101.74</v>
      </c>
    </row>
    <row r="70" spans="2:5" x14ac:dyDescent="0.3">
      <c r="B70" s="1">
        <v>41083</v>
      </c>
      <c r="C70" s="5">
        <f t="shared" si="0"/>
        <v>23.515400410677618</v>
      </c>
      <c r="D70" s="2">
        <v>102.12</v>
      </c>
    </row>
    <row r="71" spans="2:5" x14ac:dyDescent="0.3">
      <c r="B71" s="1">
        <v>41096</v>
      </c>
      <c r="C71" s="5">
        <f t="shared" si="0"/>
        <v>23.550992470910334</v>
      </c>
      <c r="D71" s="2">
        <v>101.54</v>
      </c>
    </row>
    <row r="72" spans="2:5" x14ac:dyDescent="0.3">
      <c r="B72" s="1">
        <v>41127</v>
      </c>
      <c r="C72" s="5">
        <f t="shared" si="0"/>
        <v>23.635865845311429</v>
      </c>
      <c r="D72" s="2">
        <v>105.9</v>
      </c>
    </row>
    <row r="73" spans="2:5" x14ac:dyDescent="0.3">
      <c r="B73" s="1">
        <v>41128</v>
      </c>
      <c r="C73" s="5">
        <f t="shared" si="0"/>
        <v>23.638603696098563</v>
      </c>
      <c r="D73" s="2">
        <v>104.35</v>
      </c>
    </row>
    <row r="74" spans="2:5" x14ac:dyDescent="0.3">
      <c r="B74" s="1">
        <v>41130</v>
      </c>
      <c r="C74" s="5">
        <f t="shared" si="0"/>
        <v>23.644079397672826</v>
      </c>
      <c r="D74" s="2">
        <v>100.91</v>
      </c>
    </row>
    <row r="75" spans="2:5" x14ac:dyDescent="0.3">
      <c r="B75" s="1">
        <v>41151</v>
      </c>
      <c r="C75" s="5">
        <f t="shared" si="0"/>
        <v>23.701574264202602</v>
      </c>
      <c r="D75" s="2">
        <v>102.81</v>
      </c>
    </row>
    <row r="76" spans="2:5" x14ac:dyDescent="0.3">
      <c r="B76" s="1">
        <v>41404</v>
      </c>
      <c r="C76" s="5">
        <f t="shared" si="0"/>
        <v>24.394250513347021</v>
      </c>
      <c r="D76" s="2">
        <v>103.87</v>
      </c>
      <c r="E76" s="4">
        <f>AVERAGE(D76:D77)</f>
        <v>104.505</v>
      </c>
    </row>
    <row r="77" spans="2:5" x14ac:dyDescent="0.3">
      <c r="B77" s="1">
        <v>41419</v>
      </c>
      <c r="C77" s="5">
        <f t="shared" si="0"/>
        <v>24.435318275154003</v>
      </c>
      <c r="D77" s="2">
        <v>105.14</v>
      </c>
    </row>
    <row r="78" spans="2:5" x14ac:dyDescent="0.3">
      <c r="B78" s="1">
        <v>41790</v>
      </c>
      <c r="C78" s="5">
        <f t="shared" si="0"/>
        <v>25.451060917180012</v>
      </c>
      <c r="D78" s="2">
        <v>104.87</v>
      </c>
      <c r="E78" s="4">
        <f>AVERAGE(D78:D85)</f>
        <v>104.84500000000001</v>
      </c>
    </row>
    <row r="79" spans="2:5" x14ac:dyDescent="0.3">
      <c r="B79" s="1">
        <v>41804</v>
      </c>
      <c r="C79" s="5">
        <f t="shared" si="0"/>
        <v>25.489390828199863</v>
      </c>
      <c r="D79" s="2">
        <v>104.63</v>
      </c>
    </row>
    <row r="80" spans="2:5" x14ac:dyDescent="0.3">
      <c r="B80" s="1">
        <v>41832</v>
      </c>
      <c r="C80" s="5">
        <f t="shared" si="0"/>
        <v>25.566050650239561</v>
      </c>
      <c r="D80" s="2">
        <v>103.34</v>
      </c>
    </row>
    <row r="81" spans="2:5" x14ac:dyDescent="0.3">
      <c r="B81" s="1">
        <v>41838</v>
      </c>
      <c r="C81" s="5">
        <f t="shared" si="0"/>
        <v>25.582477754962355</v>
      </c>
      <c r="D81" s="2">
        <v>102.98</v>
      </c>
    </row>
    <row r="82" spans="2:5" x14ac:dyDescent="0.3">
      <c r="B82" s="1">
        <v>41849</v>
      </c>
      <c r="C82" s="5">
        <f t="shared" si="0"/>
        <v>25.612594113620808</v>
      </c>
      <c r="D82" s="2">
        <v>106.89</v>
      </c>
    </row>
    <row r="83" spans="2:5" x14ac:dyDescent="0.3">
      <c r="B83" s="1">
        <v>41850</v>
      </c>
      <c r="C83" s="5">
        <f t="shared" si="0"/>
        <v>25.61533196440794</v>
      </c>
      <c r="D83" s="2">
        <v>106.61</v>
      </c>
    </row>
    <row r="84" spans="2:5" x14ac:dyDescent="0.3">
      <c r="B84" s="1">
        <v>41851</v>
      </c>
      <c r="C84" s="5">
        <f t="shared" si="0"/>
        <v>25.618069815195071</v>
      </c>
      <c r="D84" s="2">
        <v>105.48</v>
      </c>
    </row>
    <row r="85" spans="2:5" x14ac:dyDescent="0.3">
      <c r="B85" s="1">
        <v>41879</v>
      </c>
      <c r="C85" s="5">
        <f t="shared" si="0"/>
        <v>25.694729637234772</v>
      </c>
      <c r="D85" s="2">
        <v>103.96</v>
      </c>
    </row>
    <row r="86" spans="2:5" x14ac:dyDescent="0.3">
      <c r="B86" s="1">
        <v>42077</v>
      </c>
      <c r="C86" s="5">
        <f t="shared" si="0"/>
        <v>26.236824093086927</v>
      </c>
      <c r="D86" s="2">
        <v>105.01</v>
      </c>
      <c r="E86" s="4">
        <f>AVERAGE(D86:D96)</f>
        <v>105.25545454545454</v>
      </c>
    </row>
    <row r="87" spans="2:5" x14ac:dyDescent="0.3">
      <c r="B87" s="1">
        <v>42084</v>
      </c>
      <c r="C87" s="5">
        <f t="shared" si="0"/>
        <v>26.255989048596852</v>
      </c>
      <c r="D87" s="2">
        <v>104.94</v>
      </c>
    </row>
    <row r="88" spans="2:5" x14ac:dyDescent="0.3">
      <c r="B88" s="1">
        <v>42168</v>
      </c>
      <c r="C88" s="5">
        <f t="shared" si="0"/>
        <v>26.48596851471595</v>
      </c>
      <c r="D88" s="2">
        <v>103.58</v>
      </c>
    </row>
    <row r="89" spans="2:5" x14ac:dyDescent="0.3">
      <c r="B89" s="1">
        <v>42194</v>
      </c>
      <c r="C89" s="5">
        <f t="shared" si="0"/>
        <v>26.557152635181382</v>
      </c>
      <c r="D89" s="2">
        <v>103.76</v>
      </c>
    </row>
    <row r="90" spans="2:5" x14ac:dyDescent="0.3">
      <c r="B90" s="1">
        <v>42210</v>
      </c>
      <c r="C90" s="5">
        <f t="shared" si="0"/>
        <v>26.600958247775495</v>
      </c>
      <c r="D90" s="2">
        <v>104.67</v>
      </c>
    </row>
    <row r="91" spans="2:5" x14ac:dyDescent="0.3">
      <c r="B91" s="1">
        <v>42216</v>
      </c>
      <c r="C91" s="5">
        <f t="shared" si="0"/>
        <v>26.617385352498289</v>
      </c>
      <c r="D91" s="2">
        <v>104.2</v>
      </c>
    </row>
    <row r="92" spans="2:5" x14ac:dyDescent="0.3">
      <c r="B92" s="1">
        <v>42217</v>
      </c>
      <c r="C92" s="5">
        <f t="shared" si="0"/>
        <v>26.62012320328542</v>
      </c>
      <c r="D92" s="2">
        <v>103.89</v>
      </c>
    </row>
    <row r="93" spans="2:5" x14ac:dyDescent="0.3">
      <c r="B93" s="1">
        <v>42238</v>
      </c>
      <c r="C93" s="5">
        <f t="shared" si="0"/>
        <v>26.677618069815196</v>
      </c>
      <c r="D93" s="2">
        <v>108.31</v>
      </c>
    </row>
    <row r="94" spans="2:5" x14ac:dyDescent="0.3">
      <c r="B94" s="1">
        <v>42239</v>
      </c>
      <c r="C94" s="5">
        <f t="shared" si="0"/>
        <v>26.680355920602327</v>
      </c>
      <c r="D94" s="2">
        <v>107.7</v>
      </c>
    </row>
    <row r="95" spans="2:5" x14ac:dyDescent="0.3">
      <c r="B95" s="1">
        <v>42241</v>
      </c>
      <c r="C95" s="5">
        <f t="shared" si="0"/>
        <v>26.68583162217659</v>
      </c>
      <c r="D95" s="2">
        <v>105.84</v>
      </c>
    </row>
    <row r="96" spans="2:5" x14ac:dyDescent="0.3">
      <c r="B96" s="1">
        <v>42250</v>
      </c>
      <c r="C96" s="5">
        <f t="shared" si="0"/>
        <v>26.710472279260781</v>
      </c>
      <c r="D96" s="2">
        <v>105.91</v>
      </c>
    </row>
    <row r="97" spans="2:5" x14ac:dyDescent="0.3">
      <c r="B97" s="1">
        <v>42434</v>
      </c>
      <c r="C97" s="5">
        <f t="shared" si="0"/>
        <v>27.214236824093089</v>
      </c>
      <c r="D97" s="2">
        <v>104.78</v>
      </c>
      <c r="E97" s="4">
        <f>AVERAGE(D97:D107)</f>
        <v>104.27363636363636</v>
      </c>
    </row>
    <row r="98" spans="2:5" x14ac:dyDescent="0.3">
      <c r="B98" s="1">
        <v>42441</v>
      </c>
      <c r="C98" s="5">
        <f t="shared" si="0"/>
        <v>27.23340177960301</v>
      </c>
      <c r="D98" s="2">
        <v>104.89</v>
      </c>
    </row>
    <row r="99" spans="2:5" x14ac:dyDescent="0.3">
      <c r="B99" s="1">
        <v>42504</v>
      </c>
      <c r="C99" s="5">
        <f t="shared" si="0"/>
        <v>27.405886379192335</v>
      </c>
      <c r="D99" s="2">
        <v>106.24</v>
      </c>
    </row>
    <row r="100" spans="2:5" x14ac:dyDescent="0.3">
      <c r="B100" s="1">
        <v>42537</v>
      </c>
      <c r="C100" s="5">
        <f t="shared" si="0"/>
        <v>27.496235455167692</v>
      </c>
      <c r="D100" s="2">
        <v>105.69</v>
      </c>
    </row>
    <row r="101" spans="2:5" x14ac:dyDescent="0.3">
      <c r="B101" s="1">
        <v>42551</v>
      </c>
      <c r="C101" s="5">
        <f t="shared" si="0"/>
        <v>27.534565366187543</v>
      </c>
      <c r="D101" s="2">
        <v>103.4</v>
      </c>
    </row>
    <row r="102" spans="2:5" x14ac:dyDescent="0.3">
      <c r="B102" s="1">
        <v>42552</v>
      </c>
      <c r="C102" s="5">
        <f t="shared" si="0"/>
        <v>27.537303216974674</v>
      </c>
      <c r="D102" s="2">
        <v>104.23</v>
      </c>
    </row>
    <row r="103" spans="2:5" x14ac:dyDescent="0.3">
      <c r="B103" s="1">
        <v>42569</v>
      </c>
      <c r="C103" s="5">
        <f t="shared" si="0"/>
        <v>27.583846680355922</v>
      </c>
      <c r="D103" s="2">
        <v>103.35</v>
      </c>
    </row>
    <row r="104" spans="2:5" x14ac:dyDescent="0.3">
      <c r="B104" s="1">
        <v>42594</v>
      </c>
      <c r="C104" s="5">
        <f t="shared" si="0"/>
        <v>27.652292950034223</v>
      </c>
      <c r="D104" s="2">
        <v>105.09</v>
      </c>
    </row>
    <row r="105" spans="2:5" x14ac:dyDescent="0.3">
      <c r="B105" s="1">
        <v>42595</v>
      </c>
      <c r="C105" s="5">
        <f t="shared" si="0"/>
        <v>27.655030800821354</v>
      </c>
      <c r="D105" s="2">
        <v>103.88</v>
      </c>
    </row>
    <row r="106" spans="2:5" x14ac:dyDescent="0.3">
      <c r="B106" s="1">
        <v>42597</v>
      </c>
      <c r="C106" s="5">
        <f t="shared" si="0"/>
        <v>27.66050650239562</v>
      </c>
      <c r="D106" s="2">
        <v>102.15</v>
      </c>
    </row>
    <row r="107" spans="2:5" x14ac:dyDescent="0.3">
      <c r="B107" s="1">
        <v>42616</v>
      </c>
      <c r="C107" s="5">
        <f t="shared" si="0"/>
        <v>27.71252566735113</v>
      </c>
      <c r="D107" s="2">
        <v>103.31</v>
      </c>
    </row>
    <row r="108" spans="2:5" x14ac:dyDescent="0.3">
      <c r="B108" s="1">
        <v>42868</v>
      </c>
      <c r="C108" s="5">
        <f t="shared" si="0"/>
        <v>28.402464065708418</v>
      </c>
      <c r="D108" s="2">
        <v>105.36</v>
      </c>
      <c r="E108" s="4">
        <f>AVERAGE(D108:D110)</f>
        <v>105.05333333333333</v>
      </c>
    </row>
    <row r="109" spans="2:5" x14ac:dyDescent="0.3">
      <c r="B109" s="1">
        <v>42896</v>
      </c>
      <c r="C109" s="5">
        <f t="shared" si="0"/>
        <v>28.479123887748116</v>
      </c>
      <c r="D109" s="2">
        <v>104.9</v>
      </c>
    </row>
    <row r="110" spans="2:5" x14ac:dyDescent="0.3">
      <c r="B110" s="1">
        <v>42920</v>
      </c>
      <c r="C110" s="5">
        <f t="shared" si="0"/>
        <v>28.544832306639289</v>
      </c>
      <c r="D110" s="2">
        <v>104.9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99D78-9C83-40E7-83E4-4AF27C3C4609}">
  <dimension ref="A1:W37"/>
  <sheetViews>
    <sheetView tabSelected="1" topLeftCell="A16" workbookViewId="0">
      <selection activeCell="B35" sqref="B35"/>
    </sheetView>
  </sheetViews>
  <sheetFormatPr defaultRowHeight="14.4" x14ac:dyDescent="0.3"/>
  <cols>
    <col min="2" max="2" width="9.88671875" bestFit="1" customWidth="1"/>
    <col min="3" max="3" width="9" bestFit="1" customWidth="1"/>
    <col min="5" max="5" width="13.88671875" bestFit="1" customWidth="1"/>
    <col min="8" max="8" width="11.5546875" bestFit="1" customWidth="1"/>
    <col min="9" max="9" width="7.33203125" bestFit="1" customWidth="1"/>
    <col min="11" max="11" width="40.88671875" bestFit="1" customWidth="1"/>
    <col min="15" max="15" width="9.6640625" bestFit="1" customWidth="1"/>
    <col min="16" max="16" width="15.88671875" bestFit="1" customWidth="1"/>
    <col min="17" max="17" width="10.33203125" bestFit="1" customWidth="1"/>
    <col min="18" max="18" width="21" bestFit="1" customWidth="1"/>
    <col min="19" max="19" width="17.44140625" bestFit="1" customWidth="1"/>
    <col min="20" max="20" width="32.5546875" bestFit="1" customWidth="1"/>
    <col min="21" max="21" width="21" bestFit="1" customWidth="1"/>
    <col min="22" max="22" width="17.44140625" bestFit="1" customWidth="1"/>
    <col min="23" max="23" width="32.5546875" bestFit="1" customWidth="1"/>
  </cols>
  <sheetData>
    <row r="1" spans="1:23" x14ac:dyDescent="0.3">
      <c r="A1" s="1">
        <v>31941</v>
      </c>
      <c r="B1" t="s">
        <v>1</v>
      </c>
      <c r="C1" t="s">
        <v>3</v>
      </c>
      <c r="D1" t="s">
        <v>0</v>
      </c>
      <c r="E1" t="s">
        <v>22</v>
      </c>
      <c r="P1" t="s">
        <v>4</v>
      </c>
      <c r="Q1" t="s">
        <v>7</v>
      </c>
      <c r="R1" t="s">
        <v>24</v>
      </c>
      <c r="S1" t="s">
        <v>25</v>
      </c>
      <c r="T1" t="s">
        <v>8</v>
      </c>
      <c r="U1" t="s">
        <v>26</v>
      </c>
      <c r="V1" t="s">
        <v>27</v>
      </c>
      <c r="W1" t="s">
        <v>8</v>
      </c>
    </row>
    <row r="2" spans="1:23" x14ac:dyDescent="0.3">
      <c r="B2" s="1">
        <v>38129</v>
      </c>
      <c r="C2" s="2">
        <f>(B2-$A$1)/365.25</f>
        <v>16.941820670773442</v>
      </c>
      <c r="D2">
        <v>112.58</v>
      </c>
      <c r="E2">
        <f>AVERAGE(D2:D3)</f>
        <v>112.155</v>
      </c>
      <c r="P2">
        <v>2004</v>
      </c>
      <c r="Q2">
        <v>2</v>
      </c>
    </row>
    <row r="3" spans="1:23" x14ac:dyDescent="0.3">
      <c r="B3" s="1">
        <v>38151</v>
      </c>
      <c r="C3" s="2">
        <f>(B3-$A$1)/365.25</f>
        <v>17.002053388090349</v>
      </c>
      <c r="D3">
        <v>111.73</v>
      </c>
      <c r="P3">
        <v>2005</v>
      </c>
    </row>
    <row r="4" spans="1:23" x14ac:dyDescent="0.3">
      <c r="B4" s="1">
        <v>38501</v>
      </c>
      <c r="C4" s="2">
        <f t="shared" ref="C4:C34" si="0">(B4-$A$1)/365.25</f>
        <v>17.960301163586585</v>
      </c>
      <c r="D4">
        <v>110.46</v>
      </c>
      <c r="E4">
        <f>AVERAGE(D4:D6)</f>
        <v>109.72333333333334</v>
      </c>
      <c r="P4">
        <v>2006</v>
      </c>
      <c r="T4" s="2"/>
      <c r="V4" s="6"/>
      <c r="W4" s="2"/>
    </row>
    <row r="5" spans="1:23" x14ac:dyDescent="0.3">
      <c r="B5" s="1">
        <v>38515</v>
      </c>
      <c r="C5" s="2">
        <f t="shared" si="0"/>
        <v>17.998631074606433</v>
      </c>
      <c r="D5">
        <v>109.85</v>
      </c>
      <c r="P5">
        <v>2007</v>
      </c>
      <c r="T5" s="2"/>
      <c r="U5" s="6"/>
      <c r="V5" s="6"/>
      <c r="W5" s="2"/>
    </row>
    <row r="6" spans="1:23" x14ac:dyDescent="0.3">
      <c r="B6" s="1">
        <v>38539</v>
      </c>
      <c r="C6" s="2">
        <f t="shared" si="0"/>
        <v>18.064339493497606</v>
      </c>
      <c r="D6">
        <v>108.86</v>
      </c>
      <c r="P6">
        <v>2008</v>
      </c>
      <c r="T6" s="2"/>
      <c r="U6" s="6"/>
      <c r="V6" s="6"/>
      <c r="W6" s="2"/>
    </row>
    <row r="7" spans="1:23" x14ac:dyDescent="0.3">
      <c r="B7" s="1">
        <v>38869</v>
      </c>
      <c r="C7" s="2">
        <f t="shared" si="0"/>
        <v>18.967830253251197</v>
      </c>
      <c r="D7">
        <v>108.81</v>
      </c>
      <c r="E7">
        <f>AVERAGE(D7:D13)</f>
        <v>108.62142857142858</v>
      </c>
      <c r="P7">
        <v>2009</v>
      </c>
      <c r="T7" s="2"/>
      <c r="U7" s="6"/>
      <c r="V7" s="6"/>
      <c r="W7" s="2"/>
    </row>
    <row r="8" spans="1:23" x14ac:dyDescent="0.3">
      <c r="B8" s="1">
        <v>38878</v>
      </c>
      <c r="C8" s="2">
        <f t="shared" si="0"/>
        <v>18.992470910335388</v>
      </c>
      <c r="D8">
        <v>108.09</v>
      </c>
      <c r="P8">
        <v>2010</v>
      </c>
      <c r="T8" s="2"/>
      <c r="U8" s="6"/>
      <c r="V8" s="6"/>
      <c r="W8" s="2"/>
    </row>
    <row r="9" spans="1:23" x14ac:dyDescent="0.3">
      <c r="B9" s="1">
        <v>38892</v>
      </c>
      <c r="C9" s="2">
        <f t="shared" si="0"/>
        <v>19.030800821355236</v>
      </c>
      <c r="D9">
        <v>106.69</v>
      </c>
      <c r="P9">
        <v>2011</v>
      </c>
      <c r="T9" s="2"/>
      <c r="U9" s="6"/>
      <c r="V9" s="6"/>
      <c r="W9" s="2"/>
    </row>
    <row r="10" spans="1:23" x14ac:dyDescent="0.3">
      <c r="B10" s="1">
        <v>38907</v>
      </c>
      <c r="C10" s="2">
        <f t="shared" si="0"/>
        <v>19.071868583162217</v>
      </c>
      <c r="D10">
        <v>110.37</v>
      </c>
      <c r="P10">
        <v>2012</v>
      </c>
      <c r="T10" s="2"/>
      <c r="U10" s="6"/>
      <c r="V10" s="6"/>
      <c r="W10" s="2"/>
    </row>
    <row r="11" spans="1:23" x14ac:dyDescent="0.3">
      <c r="B11" s="1">
        <v>38944</v>
      </c>
      <c r="C11" s="2">
        <f t="shared" si="0"/>
        <v>19.173169062286107</v>
      </c>
      <c r="D11">
        <v>110.24</v>
      </c>
      <c r="P11">
        <v>2013</v>
      </c>
      <c r="T11" s="2"/>
      <c r="U11" s="6"/>
      <c r="V11" s="6"/>
      <c r="W11" s="8"/>
    </row>
    <row r="12" spans="1:23" x14ac:dyDescent="0.3">
      <c r="B12" s="1">
        <v>38945</v>
      </c>
      <c r="C12" s="2">
        <f t="shared" si="0"/>
        <v>19.175906913073238</v>
      </c>
      <c r="D12">
        <v>107.9</v>
      </c>
      <c r="P12">
        <v>2014</v>
      </c>
      <c r="T12" s="2"/>
      <c r="U12" s="6"/>
      <c r="V12" s="6"/>
      <c r="W12" s="2"/>
    </row>
    <row r="13" spans="1:23" x14ac:dyDescent="0.3">
      <c r="B13" s="1">
        <v>38947</v>
      </c>
      <c r="C13" s="2">
        <f t="shared" si="0"/>
        <v>19.1813826146475</v>
      </c>
      <c r="D13">
        <v>108.25</v>
      </c>
      <c r="P13">
        <v>2015</v>
      </c>
      <c r="T13" s="2"/>
      <c r="U13" s="6"/>
      <c r="V13" s="6"/>
      <c r="W13" s="2"/>
    </row>
    <row r="14" spans="1:23" x14ac:dyDescent="0.3">
      <c r="B14" s="1">
        <v>39221</v>
      </c>
      <c r="C14" s="2">
        <f t="shared" si="0"/>
        <v>19.931553730321699</v>
      </c>
      <c r="D14">
        <v>109.07</v>
      </c>
      <c r="E14">
        <f>AVERAGE(D14:D27)</f>
        <v>108.59428571428573</v>
      </c>
      <c r="P14">
        <v>2016</v>
      </c>
      <c r="T14" s="2"/>
      <c r="U14" s="6"/>
      <c r="V14" s="6"/>
      <c r="W14" s="2"/>
    </row>
    <row r="15" spans="1:23" x14ac:dyDescent="0.3">
      <c r="B15" s="1">
        <v>39228</v>
      </c>
      <c r="C15" s="2">
        <f t="shared" si="0"/>
        <v>19.950718685831621</v>
      </c>
      <c r="D15">
        <v>105.52</v>
      </c>
      <c r="P15">
        <v>2017</v>
      </c>
      <c r="T15" s="2"/>
      <c r="U15" s="6"/>
      <c r="V15" s="6"/>
      <c r="W15" s="2"/>
    </row>
    <row r="16" spans="1:23" x14ac:dyDescent="0.3">
      <c r="B16" s="1">
        <v>39260</v>
      </c>
      <c r="C16" s="2">
        <f t="shared" si="0"/>
        <v>20.038329911019851</v>
      </c>
      <c r="D16">
        <v>106.97</v>
      </c>
      <c r="P16">
        <v>2018</v>
      </c>
      <c r="T16" s="2"/>
      <c r="U16" s="6"/>
      <c r="V16" s="6"/>
      <c r="W16" s="2"/>
    </row>
    <row r="17" spans="2:23" x14ac:dyDescent="0.3">
      <c r="B17" s="1">
        <v>39264</v>
      </c>
      <c r="C17" s="2">
        <f t="shared" si="0"/>
        <v>20.049281314168379</v>
      </c>
      <c r="D17">
        <v>109.22</v>
      </c>
      <c r="P17">
        <v>2019</v>
      </c>
      <c r="T17" s="2"/>
      <c r="U17" s="6"/>
      <c r="V17" s="6"/>
      <c r="W17" s="2"/>
    </row>
    <row r="18" spans="2:23" x14ac:dyDescent="0.3">
      <c r="B18" s="1">
        <v>39275</v>
      </c>
      <c r="C18" s="2">
        <f t="shared" si="0"/>
        <v>20.079397672826833</v>
      </c>
      <c r="D18">
        <v>109.57</v>
      </c>
      <c r="P18">
        <v>2020</v>
      </c>
      <c r="T18" s="2"/>
      <c r="U18" s="6"/>
      <c r="V18" s="6"/>
      <c r="W18" s="2"/>
    </row>
    <row r="19" spans="2:23" x14ac:dyDescent="0.3">
      <c r="B19" s="1">
        <v>39277</v>
      </c>
      <c r="C19" s="2">
        <f t="shared" si="0"/>
        <v>20.084873374401095</v>
      </c>
      <c r="D19">
        <v>109.94</v>
      </c>
      <c r="T19" s="2"/>
    </row>
    <row r="20" spans="2:23" x14ac:dyDescent="0.3">
      <c r="B20" s="1">
        <v>39284</v>
      </c>
      <c r="C20" s="2">
        <f t="shared" si="0"/>
        <v>20.10403832991102</v>
      </c>
      <c r="D20">
        <v>106.52</v>
      </c>
    </row>
    <row r="21" spans="2:23" x14ac:dyDescent="0.3">
      <c r="B21" s="1">
        <v>39291</v>
      </c>
      <c r="C21" s="2">
        <f t="shared" si="0"/>
        <v>20.123203285420946</v>
      </c>
      <c r="D21">
        <v>108.72</v>
      </c>
      <c r="Q21">
        <v>28</v>
      </c>
      <c r="R21">
        <v>28</v>
      </c>
      <c r="S21">
        <v>33</v>
      </c>
      <c r="T21">
        <v>33</v>
      </c>
    </row>
    <row r="22" spans="2:23" x14ac:dyDescent="0.3">
      <c r="B22" s="1">
        <v>39305</v>
      </c>
      <c r="C22" s="2">
        <f t="shared" si="0"/>
        <v>20.161533196440793</v>
      </c>
      <c r="D22">
        <v>108.63</v>
      </c>
      <c r="Q22">
        <f>0.0964*Q21^2-4.6271*Q21+159.27</f>
        <v>105.28879999999999</v>
      </c>
      <c r="R22">
        <f>-0.0101*R21^3+0.7808*R21^2-19.959*R21+272.32</f>
        <v>103.90000000000003</v>
      </c>
      <c r="S22">
        <f>0.0964*S21^2-4.6271*S21+159.27</f>
        <v>111.55529999999999</v>
      </c>
      <c r="T22">
        <f>-0.0101*T21^3+0.7808*T21^2-19.959*T21+272.32</f>
        <v>101.0005000000001</v>
      </c>
    </row>
    <row r="23" spans="2:23" x14ac:dyDescent="0.3">
      <c r="B23" s="1">
        <v>39307</v>
      </c>
      <c r="C23" s="2">
        <f t="shared" si="0"/>
        <v>20.167008898015059</v>
      </c>
      <c r="D23">
        <v>108.63</v>
      </c>
      <c r="Q23">
        <f>Q22-104.57</f>
        <v>0.71880000000000166</v>
      </c>
      <c r="R23">
        <f>R22-104.57</f>
        <v>-0.66999999999995907</v>
      </c>
      <c r="S23">
        <f>S22-105.847</f>
        <v>5.7082999999999942</v>
      </c>
      <c r="T23">
        <f>T22-105.847</f>
        <v>-4.8464999999998923</v>
      </c>
    </row>
    <row r="24" spans="2:23" x14ac:dyDescent="0.3">
      <c r="B24" s="1">
        <v>39308</v>
      </c>
      <c r="C24" s="2">
        <f t="shared" si="0"/>
        <v>20.16974674880219</v>
      </c>
      <c r="D24">
        <v>107.94</v>
      </c>
      <c r="H24" t="s">
        <v>9</v>
      </c>
      <c r="I24" t="s">
        <v>29</v>
      </c>
      <c r="K24" t="s">
        <v>15</v>
      </c>
      <c r="L24" t="s">
        <v>12</v>
      </c>
      <c r="M24" t="s">
        <v>13</v>
      </c>
      <c r="N24" t="s">
        <v>14</v>
      </c>
    </row>
    <row r="25" spans="2:23" x14ac:dyDescent="0.3">
      <c r="B25" s="1">
        <v>39334</v>
      </c>
      <c r="C25" s="2">
        <f t="shared" si="0"/>
        <v>20.240930869267626</v>
      </c>
      <c r="D25">
        <v>112.65</v>
      </c>
      <c r="H25">
        <v>17</v>
      </c>
      <c r="I25" s="7">
        <v>112.155</v>
      </c>
      <c r="K25" t="s">
        <v>10</v>
      </c>
      <c r="O25" s="5" t="s">
        <v>18</v>
      </c>
    </row>
    <row r="26" spans="2:23" x14ac:dyDescent="0.3">
      <c r="B26" s="1">
        <v>39341</v>
      </c>
      <c r="C26" s="2">
        <f t="shared" si="0"/>
        <v>20.260095824777551</v>
      </c>
      <c r="D26">
        <v>107.76</v>
      </c>
      <c r="H26">
        <v>18</v>
      </c>
      <c r="I26" s="7">
        <v>109.72333333333334</v>
      </c>
      <c r="K26" t="s">
        <v>11</v>
      </c>
      <c r="O26" t="s">
        <v>28</v>
      </c>
    </row>
    <row r="27" spans="2:23" x14ac:dyDescent="0.3">
      <c r="B27" s="1">
        <v>39344</v>
      </c>
      <c r="C27" s="2">
        <f t="shared" si="0"/>
        <v>20.268309377138944</v>
      </c>
      <c r="D27">
        <v>109.18</v>
      </c>
      <c r="H27">
        <v>19</v>
      </c>
      <c r="I27" s="7">
        <v>108.62142857142858</v>
      </c>
    </row>
    <row r="28" spans="2:23" x14ac:dyDescent="0.3">
      <c r="B28" s="1">
        <v>39592</v>
      </c>
      <c r="C28" s="2">
        <f t="shared" si="0"/>
        <v>20.947296372347708</v>
      </c>
      <c r="H28">
        <v>20</v>
      </c>
      <c r="I28" s="7">
        <v>108.59428571428573</v>
      </c>
    </row>
    <row r="29" spans="2:23" x14ac:dyDescent="0.3">
      <c r="B29" s="1">
        <v>39599</v>
      </c>
      <c r="C29" s="2">
        <f t="shared" si="0"/>
        <v>20.966461327857633</v>
      </c>
      <c r="H29">
        <v>21</v>
      </c>
      <c r="I29" s="7"/>
    </row>
    <row r="30" spans="2:23" x14ac:dyDescent="0.3">
      <c r="B30" s="1">
        <v>39611</v>
      </c>
      <c r="C30" s="2">
        <f t="shared" si="0"/>
        <v>20.999315537303218</v>
      </c>
      <c r="H30">
        <v>22</v>
      </c>
      <c r="I30" s="7"/>
    </row>
    <row r="31" spans="2:23" x14ac:dyDescent="0.3">
      <c r="B31" s="1">
        <v>39614</v>
      </c>
      <c r="C31" s="2">
        <f t="shared" si="0"/>
        <v>21.007529089664612</v>
      </c>
      <c r="H31">
        <v>23</v>
      </c>
      <c r="I31" s="7"/>
    </row>
    <row r="32" spans="2:23" x14ac:dyDescent="0.3">
      <c r="B32" s="1">
        <v>39621</v>
      </c>
      <c r="C32" s="2">
        <f t="shared" si="0"/>
        <v>21.026694045174537</v>
      </c>
      <c r="H32">
        <v>24</v>
      </c>
      <c r="I32" s="7"/>
    </row>
    <row r="33" spans="2:9" x14ac:dyDescent="0.3">
      <c r="B33" s="1">
        <v>39624</v>
      </c>
      <c r="C33" s="2">
        <f t="shared" si="0"/>
        <v>21.034907597535934</v>
      </c>
      <c r="H33">
        <v>25</v>
      </c>
      <c r="I33" s="7"/>
    </row>
    <row r="34" spans="2:9" x14ac:dyDescent="0.3">
      <c r="B34" s="1">
        <v>39630</v>
      </c>
      <c r="C34" s="2">
        <f t="shared" si="0"/>
        <v>21.051334702258728</v>
      </c>
      <c r="H34">
        <v>26</v>
      </c>
      <c r="I34" s="7"/>
    </row>
    <row r="35" spans="2:9" x14ac:dyDescent="0.3">
      <c r="H35">
        <v>27</v>
      </c>
      <c r="I35" s="7"/>
    </row>
    <row r="36" spans="2:9" x14ac:dyDescent="0.3">
      <c r="H36">
        <v>28</v>
      </c>
      <c r="I36" s="7"/>
    </row>
    <row r="37" spans="2:9" x14ac:dyDescent="0.3">
      <c r="H37">
        <v>29</v>
      </c>
      <c r="I37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McBride Analysis</vt:lpstr>
      <vt:lpstr>Rudisha Analysis</vt:lpstr>
      <vt:lpstr>Lewandowski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Larsen</dc:creator>
  <cp:lastModifiedBy>Alec Larsen</cp:lastModifiedBy>
  <dcterms:created xsi:type="dcterms:W3CDTF">2021-01-21T15:30:50Z</dcterms:created>
  <dcterms:modified xsi:type="dcterms:W3CDTF">2021-01-22T01:28:46Z</dcterms:modified>
</cp:coreProperties>
</file>