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Documents\"/>
    </mc:Choice>
  </mc:AlternateContent>
  <xr:revisionPtr revIDLastSave="0" documentId="13_ncr:1_{DFD368E4-3617-48B9-8950-F400ABBE6233}" xr6:coauthVersionLast="46" xr6:coauthVersionMax="46" xr10:uidLastSave="{00000000-0000-0000-0000-000000000000}"/>
  <bookViews>
    <workbookView xWindow="10944" yWindow="912" windowWidth="12012" windowHeight="11136" firstSheet="1" activeTab="2" xr2:uid="{FB4547C9-45BA-4C05-A6A5-53AC410E1A44}"/>
  </bookViews>
  <sheets>
    <sheet name="McBride Analysis" sheetId="1" r:id="rId1"/>
    <sheet name="Rudisha Analysis" sheetId="2" r:id="rId2"/>
    <sheet name="Lewandowski Analysi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3" l="1"/>
  <c r="Q23" i="3"/>
  <c r="R22" i="3"/>
  <c r="Q22" i="3"/>
  <c r="Z14" i="3"/>
  <c r="AA14" i="3"/>
  <c r="AB14" i="3"/>
  <c r="AC14" i="3"/>
  <c r="Z15" i="3"/>
  <c r="AA15" i="3"/>
  <c r="AB15" i="3"/>
  <c r="AC15" i="3"/>
  <c r="Z16" i="3"/>
  <c r="AA16" i="3"/>
  <c r="AB16" i="3"/>
  <c r="AC16" i="3"/>
  <c r="Z17" i="3"/>
  <c r="AA17" i="3"/>
  <c r="AB17" i="3"/>
  <c r="AC17" i="3"/>
  <c r="Z18" i="3"/>
  <c r="AA18" i="3"/>
  <c r="AB18" i="3"/>
  <c r="AC18" i="3"/>
  <c r="Z2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AC3" i="3"/>
  <c r="AB3" i="3"/>
  <c r="AA3" i="3"/>
  <c r="Z3" i="3"/>
  <c r="AC2" i="3"/>
  <c r="AB2" i="3"/>
  <c r="AA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2" i="3"/>
  <c r="W2" i="3"/>
  <c r="O26" i="3"/>
  <c r="O25" i="3"/>
  <c r="M26" i="3"/>
  <c r="M25" i="3"/>
  <c r="L26" i="3"/>
  <c r="L25" i="3"/>
  <c r="E184" i="3"/>
  <c r="C185" i="3"/>
  <c r="C184" i="3"/>
  <c r="E174" i="3"/>
  <c r="C183" i="3"/>
  <c r="C182" i="3"/>
  <c r="C181" i="3"/>
  <c r="C180" i="3"/>
  <c r="C179" i="3"/>
  <c r="C178" i="3"/>
  <c r="C177" i="3"/>
  <c r="C176" i="3"/>
  <c r="C175" i="3"/>
  <c r="C174" i="3"/>
  <c r="E165" i="3"/>
  <c r="C173" i="3"/>
  <c r="C172" i="3"/>
  <c r="C171" i="3"/>
  <c r="C170" i="3"/>
  <c r="C169" i="3"/>
  <c r="C168" i="3"/>
  <c r="C167" i="3"/>
  <c r="C166" i="3"/>
  <c r="C165" i="3"/>
  <c r="E156" i="3"/>
  <c r="C164" i="3"/>
  <c r="C163" i="3"/>
  <c r="C162" i="3"/>
  <c r="C161" i="3"/>
  <c r="C160" i="3"/>
  <c r="C159" i="3"/>
  <c r="C158" i="3"/>
  <c r="C157" i="3"/>
  <c r="C156" i="3"/>
  <c r="E141" i="3"/>
  <c r="C151" i="3"/>
  <c r="C152" i="3"/>
  <c r="C153" i="3"/>
  <c r="C154" i="3"/>
  <c r="C155" i="3"/>
  <c r="C150" i="3"/>
  <c r="C149" i="3"/>
  <c r="C148" i="3"/>
  <c r="C147" i="3"/>
  <c r="C146" i="3"/>
  <c r="C145" i="3"/>
  <c r="C144" i="3"/>
  <c r="C143" i="3"/>
  <c r="C142" i="3"/>
  <c r="C141" i="3"/>
  <c r="E127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E112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E100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E89" i="3"/>
  <c r="C99" i="3"/>
  <c r="C98" i="3"/>
  <c r="C97" i="3"/>
  <c r="C96" i="3"/>
  <c r="C95" i="3"/>
  <c r="C94" i="3"/>
  <c r="C93" i="3"/>
  <c r="C92" i="3"/>
  <c r="C91" i="3"/>
  <c r="C90" i="3"/>
  <c r="C89" i="3"/>
  <c r="E72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E59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E42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E28" i="3"/>
  <c r="C34" i="3"/>
  <c r="C35" i="3"/>
  <c r="C36" i="3"/>
  <c r="C37" i="3"/>
  <c r="C38" i="3"/>
  <c r="C39" i="3"/>
  <c r="C40" i="3"/>
  <c r="C41" i="3"/>
  <c r="AA16" i="2"/>
  <c r="AB16" i="2"/>
  <c r="AC16" i="2"/>
  <c r="Z16" i="2"/>
  <c r="AA15" i="2"/>
  <c r="AB15" i="2"/>
  <c r="AC15" i="2"/>
  <c r="Z15" i="2"/>
  <c r="R19" i="2"/>
  <c r="Q19" i="2"/>
  <c r="R18" i="2"/>
  <c r="Q18" i="2"/>
  <c r="Z5" i="2"/>
  <c r="Z6" i="2"/>
  <c r="Z7" i="2"/>
  <c r="Z8" i="2"/>
  <c r="Z9" i="2"/>
  <c r="Z10" i="2"/>
  <c r="Z11" i="2"/>
  <c r="Z12" i="2"/>
  <c r="Z13" i="2"/>
  <c r="Z14" i="2"/>
  <c r="AA4" i="2"/>
  <c r="AA5" i="2"/>
  <c r="AA6" i="2"/>
  <c r="AA7" i="2"/>
  <c r="AA8" i="2"/>
  <c r="AA9" i="2"/>
  <c r="AA10" i="2"/>
  <c r="AA11" i="2"/>
  <c r="AA12" i="2"/>
  <c r="AA13" i="2"/>
  <c r="AA14" i="2"/>
  <c r="AB12" i="2"/>
  <c r="AC12" i="2"/>
  <c r="AB13" i="2"/>
  <c r="AC13" i="2"/>
  <c r="AB14" i="2"/>
  <c r="AC14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C3" i="2"/>
  <c r="AB3" i="2"/>
  <c r="Z4" i="2"/>
  <c r="AA3" i="2"/>
  <c r="Z3" i="2"/>
  <c r="Z16" i="1"/>
  <c r="AA16" i="1"/>
  <c r="AB16" i="1"/>
  <c r="Y16" i="1"/>
  <c r="Z15" i="1"/>
  <c r="AA15" i="1"/>
  <c r="AB15" i="1"/>
  <c r="Y15" i="1"/>
  <c r="AB12" i="1"/>
  <c r="AA12" i="1"/>
  <c r="AA13" i="1"/>
  <c r="AB13" i="1"/>
  <c r="Y12" i="1"/>
  <c r="Y13" i="1"/>
  <c r="Z13" i="1"/>
  <c r="Z12" i="1"/>
  <c r="AB3" i="1"/>
  <c r="AB4" i="1"/>
  <c r="AB5" i="1"/>
  <c r="AB6" i="1"/>
  <c r="AB7" i="1"/>
  <c r="AB8" i="1"/>
  <c r="AB9" i="1"/>
  <c r="AB10" i="1"/>
  <c r="AB11" i="1"/>
  <c r="AA4" i="1"/>
  <c r="AA5" i="1"/>
  <c r="AA6" i="1"/>
  <c r="AA7" i="1"/>
  <c r="AA8" i="1"/>
  <c r="AA9" i="1"/>
  <c r="AA10" i="1"/>
  <c r="AA11" i="1"/>
  <c r="AA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Z3" i="1"/>
  <c r="Y3" i="1"/>
  <c r="R16" i="1"/>
  <c r="R17" i="1" s="1"/>
  <c r="Q16" i="1"/>
  <c r="Q17" i="1" s="1"/>
  <c r="J36" i="1"/>
  <c r="I36" i="1"/>
  <c r="M36" i="1"/>
  <c r="K36" i="1"/>
  <c r="F71" i="1"/>
  <c r="F63" i="1"/>
  <c r="F52" i="1"/>
  <c r="F38" i="1"/>
  <c r="F30" i="1"/>
  <c r="F20" i="1"/>
  <c r="F15" i="1"/>
  <c r="F8" i="1"/>
  <c r="F2" i="1"/>
  <c r="C33" i="3"/>
  <c r="C32" i="3"/>
  <c r="C31" i="3"/>
  <c r="C30" i="3"/>
  <c r="C29" i="3"/>
  <c r="C28" i="3"/>
  <c r="E14" i="3"/>
  <c r="C24" i="3"/>
  <c r="C25" i="3"/>
  <c r="C26" i="3"/>
  <c r="C27" i="3"/>
  <c r="C23" i="3"/>
  <c r="C22" i="3"/>
  <c r="C21" i="3"/>
  <c r="C20" i="3"/>
  <c r="C19" i="3"/>
  <c r="C18" i="3"/>
  <c r="C17" i="3"/>
  <c r="C16" i="3"/>
  <c r="C15" i="3"/>
  <c r="C14" i="3"/>
  <c r="E7" i="3"/>
  <c r="C13" i="3"/>
  <c r="C12" i="3"/>
  <c r="C11" i="3"/>
  <c r="C10" i="3"/>
  <c r="C9" i="3"/>
  <c r="C8" i="3"/>
  <c r="C7" i="3"/>
  <c r="E4" i="3"/>
  <c r="C4" i="3"/>
  <c r="C5" i="3"/>
  <c r="C6" i="3"/>
  <c r="C3" i="3"/>
  <c r="C2" i="3"/>
  <c r="E2" i="3"/>
  <c r="W4" i="2"/>
  <c r="W5" i="2"/>
  <c r="W6" i="2"/>
  <c r="W7" i="2"/>
  <c r="W8" i="2"/>
  <c r="W9" i="2"/>
  <c r="W10" i="2"/>
  <c r="W11" i="2"/>
  <c r="W12" i="2"/>
  <c r="W13" i="2"/>
  <c r="W14" i="2"/>
  <c r="W3" i="2"/>
  <c r="T3" i="2"/>
  <c r="T4" i="2"/>
  <c r="T5" i="2"/>
  <c r="T6" i="2"/>
  <c r="T7" i="2"/>
  <c r="T8" i="2"/>
  <c r="T9" i="2"/>
  <c r="T10" i="2"/>
  <c r="T11" i="2"/>
  <c r="T12" i="2"/>
  <c r="T13" i="2"/>
  <c r="T14" i="2"/>
  <c r="N26" i="2"/>
  <c r="N25" i="2"/>
  <c r="M26" i="2"/>
  <c r="M25" i="2"/>
  <c r="L26" i="2"/>
  <c r="L27" i="2" s="1"/>
  <c r="L25" i="2"/>
  <c r="M27" i="2" s="1"/>
  <c r="E108" i="2"/>
  <c r="C110" i="2"/>
  <c r="C109" i="2"/>
  <c r="C108" i="2"/>
  <c r="E97" i="2"/>
  <c r="C107" i="2"/>
  <c r="C106" i="2"/>
  <c r="C105" i="2"/>
  <c r="C104" i="2"/>
  <c r="C103" i="2"/>
  <c r="C102" i="2"/>
  <c r="C101" i="2"/>
  <c r="C100" i="2"/>
  <c r="C99" i="2"/>
  <c r="C98" i="2"/>
  <c r="C97" i="2"/>
  <c r="E86" i="2"/>
  <c r="C96" i="2"/>
  <c r="C95" i="2"/>
  <c r="C94" i="2"/>
  <c r="C93" i="2"/>
  <c r="C92" i="2"/>
  <c r="C91" i="2"/>
  <c r="C90" i="2"/>
  <c r="C89" i="2"/>
  <c r="C88" i="2"/>
  <c r="C87" i="2"/>
  <c r="C86" i="2"/>
  <c r="E78" i="2"/>
  <c r="C85" i="2"/>
  <c r="C84" i="2"/>
  <c r="C83" i="2"/>
  <c r="C82" i="2"/>
  <c r="C81" i="2"/>
  <c r="C80" i="2"/>
  <c r="C79" i="2"/>
  <c r="C78" i="2"/>
  <c r="E76" i="2"/>
  <c r="C77" i="2"/>
  <c r="C76" i="2"/>
  <c r="E67" i="2"/>
  <c r="C75" i="2"/>
  <c r="C74" i="2"/>
  <c r="C73" i="2"/>
  <c r="C72" i="2"/>
  <c r="C71" i="2"/>
  <c r="C70" i="2"/>
  <c r="C69" i="2"/>
  <c r="C68" i="2"/>
  <c r="C67" i="2"/>
  <c r="E52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E36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E25" i="2"/>
  <c r="C35" i="2"/>
  <c r="C34" i="2"/>
  <c r="C33" i="2"/>
  <c r="C32" i="2"/>
  <c r="C31" i="2"/>
  <c r="C30" i="2"/>
  <c r="C29" i="2"/>
  <c r="C28" i="2"/>
  <c r="C27" i="2"/>
  <c r="C26" i="2"/>
  <c r="C25" i="2"/>
  <c r="E16" i="2"/>
  <c r="C24" i="2"/>
  <c r="C23" i="2"/>
  <c r="C22" i="2"/>
  <c r="C21" i="2"/>
  <c r="C20" i="2"/>
  <c r="C19" i="2"/>
  <c r="C18" i="2"/>
  <c r="C17" i="2"/>
  <c r="C16" i="2"/>
  <c r="E8" i="2"/>
  <c r="E3" i="2"/>
  <c r="C15" i="2"/>
  <c r="C14" i="2"/>
  <c r="C13" i="2"/>
  <c r="C12" i="2"/>
  <c r="C11" i="2"/>
  <c r="C10" i="2"/>
  <c r="C9" i="2"/>
  <c r="C8" i="2"/>
  <c r="C3" i="2"/>
  <c r="C4" i="2"/>
  <c r="C5" i="2"/>
  <c r="C6" i="2"/>
  <c r="C7" i="2"/>
  <c r="C2" i="2"/>
  <c r="M37" i="1"/>
  <c r="W11" i="1"/>
  <c r="T11" i="1"/>
  <c r="J37" i="1"/>
  <c r="I37" i="1"/>
  <c r="D80" i="1"/>
  <c r="D79" i="1"/>
  <c r="D78" i="1"/>
  <c r="D77" i="1"/>
  <c r="D76" i="1"/>
  <c r="D75" i="1"/>
  <c r="D74" i="1"/>
  <c r="D73" i="1"/>
  <c r="D72" i="1"/>
  <c r="D71" i="1"/>
  <c r="W10" i="1"/>
  <c r="T10" i="1"/>
  <c r="K37" i="1"/>
  <c r="D70" i="1"/>
  <c r="D69" i="1"/>
  <c r="D68" i="1"/>
  <c r="D67" i="1"/>
  <c r="D66" i="1"/>
  <c r="D65" i="1"/>
  <c r="D64" i="1"/>
  <c r="D63" i="1"/>
  <c r="T9" i="1"/>
  <c r="W9" i="1"/>
  <c r="W8" i="1"/>
  <c r="W7" i="1"/>
  <c r="W6" i="1"/>
  <c r="W5" i="1"/>
  <c r="W4" i="1"/>
  <c r="W3" i="1"/>
  <c r="T8" i="1"/>
  <c r="D61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T7" i="1"/>
  <c r="T5" i="1"/>
  <c r="T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9" i="1"/>
  <c r="D18" i="1"/>
  <c r="D17" i="1"/>
  <c r="D16" i="1"/>
  <c r="D15" i="1"/>
  <c r="D13" i="1"/>
  <c r="D12" i="1"/>
  <c r="D11" i="1"/>
  <c r="D8" i="1"/>
  <c r="D4" i="1"/>
  <c r="D14" i="1"/>
  <c r="D10" i="1"/>
  <c r="D9" i="1"/>
  <c r="D2" i="1"/>
  <c r="D3" i="1"/>
  <c r="D6" i="1"/>
  <c r="D7" i="1"/>
  <c r="D5" i="1"/>
  <c r="AC22" i="3" l="1"/>
  <c r="AC23" i="3" s="1"/>
  <c r="AC19" i="3"/>
  <c r="AC20" i="3" s="1"/>
  <c r="Z19" i="3"/>
  <c r="Z20" i="3" s="1"/>
  <c r="Z22" i="3"/>
  <c r="Z23" i="3" s="1"/>
  <c r="AB22" i="3"/>
  <c r="AB23" i="3" s="1"/>
  <c r="AA22" i="3"/>
  <c r="AA23" i="3" s="1"/>
  <c r="AB19" i="3"/>
  <c r="AB20" i="3" s="1"/>
  <c r="AA19" i="3"/>
  <c r="AA20" i="3" s="1"/>
  <c r="AB18" i="2"/>
  <c r="AB19" i="2" s="1"/>
  <c r="Z18" i="2"/>
  <c r="Z19" i="2" s="1"/>
  <c r="AC18" i="2"/>
  <c r="AC19" i="2" s="1"/>
  <c r="AA18" i="2"/>
  <c r="AA19" i="2" s="1"/>
  <c r="T3" i="1"/>
  <c r="T4" i="1"/>
</calcChain>
</file>

<file path=xl/sharedStrings.xml><?xml version="1.0" encoding="utf-8"?>
<sst xmlns="http://schemas.openxmlformats.org/spreadsheetml/2006/main" count="92" uniqueCount="32">
  <si>
    <t>Time</t>
  </si>
  <si>
    <t>Date</t>
  </si>
  <si>
    <t>McBride</t>
  </si>
  <si>
    <t>Age</t>
  </si>
  <si>
    <t>Last Year Included</t>
  </si>
  <si>
    <t>Data Points</t>
  </si>
  <si>
    <t>Factor of Superior Accuracy (Q over C)</t>
  </si>
  <si>
    <t>Age (Turning)</t>
  </si>
  <si>
    <t>Generalized Algorithm Prediction (Interpolation)</t>
  </si>
  <si>
    <t>Generalized Algorithm Prediction (Extrapolation)</t>
  </si>
  <si>
    <t>Quadratic</t>
  </si>
  <si>
    <t>Cubic</t>
  </si>
  <si>
    <t>Quartic</t>
  </si>
  <si>
    <t>Data up to 2017</t>
  </si>
  <si>
    <t>Year: 2016</t>
  </si>
  <si>
    <t>Year: 2023</t>
  </si>
  <si>
    <t>Data up to 2019</t>
  </si>
  <si>
    <t>Rudisha</t>
  </si>
  <si>
    <t>Yearly Averages</t>
  </si>
  <si>
    <t>Year: 2021</t>
  </si>
  <si>
    <t>Lewandowski</t>
  </si>
  <si>
    <t>Quadratic Deviation (-1)</t>
  </si>
  <si>
    <t>Cubic Deviation (-1)</t>
  </si>
  <si>
    <t>Quadratic Deviation (+1)</t>
  </si>
  <si>
    <t>Cubic Deviation (+1)</t>
  </si>
  <si>
    <t>Average Log</t>
  </si>
  <si>
    <t>Seconds</t>
  </si>
  <si>
    <t>Ignoring 1 Year Data Set</t>
  </si>
  <si>
    <t>Conclusion</t>
  </si>
  <si>
    <t>Quadratic is more effective generally at both +- 1 predictions</t>
  </si>
  <si>
    <t>Quadratic is more effective generally +1, cubic slightly better at -1</t>
  </si>
  <si>
    <t>Quadratic is more effective generally at both +- 1 predictions, note only very slight advantage in -1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</si>
</sst>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1447944006998"/>
          <c:y val="0.16708333333333336"/>
          <c:w val="0.8345855205599299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'McBride Analysis'!$E$1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790828607563955"/>
                  <c:y val="4.7641805191017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1008092738407699"/>
                  <c:y val="-0.71155183727034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Analysis'!$D$2:$D$80</c:f>
              <c:numCache>
                <c:formatCode>General</c:formatCode>
                <c:ptCount val="79"/>
                <c:pt idx="0">
                  <c:v>16.930869267624914</c:v>
                </c:pt>
                <c:pt idx="1">
                  <c:v>16.991101984941821</c:v>
                </c:pt>
                <c:pt idx="2">
                  <c:v>17.056810403832991</c:v>
                </c:pt>
                <c:pt idx="3">
                  <c:v>17.059548254620122</c:v>
                </c:pt>
                <c:pt idx="4">
                  <c:v>17.103353867214238</c:v>
                </c:pt>
                <c:pt idx="5">
                  <c:v>17.144421629021217</c:v>
                </c:pt>
                <c:pt idx="6">
                  <c:v>17.94113620807666</c:v>
                </c:pt>
                <c:pt idx="7">
                  <c:v>17.946611909650922</c:v>
                </c:pt>
                <c:pt idx="8">
                  <c:v>17.984941820670773</c:v>
                </c:pt>
                <c:pt idx="9">
                  <c:v>17.984941820670773</c:v>
                </c:pt>
                <c:pt idx="10">
                  <c:v>18.078028747433265</c:v>
                </c:pt>
                <c:pt idx="11">
                  <c:v>18.080766598220396</c:v>
                </c:pt>
                <c:pt idx="12">
                  <c:v>18.083504449007528</c:v>
                </c:pt>
                <c:pt idx="13">
                  <c:v>18.902121834360027</c:v>
                </c:pt>
                <c:pt idx="14">
                  <c:v>18.937713894592743</c:v>
                </c:pt>
                <c:pt idx="15">
                  <c:v>19.09924709103354</c:v>
                </c:pt>
                <c:pt idx="16">
                  <c:v>19.162217659137578</c:v>
                </c:pt>
                <c:pt idx="17">
                  <c:v>19.170431211498972</c:v>
                </c:pt>
                <c:pt idx="18">
                  <c:v>19.843942505133469</c:v>
                </c:pt>
                <c:pt idx="19">
                  <c:v>19.917864476386036</c:v>
                </c:pt>
                <c:pt idx="20">
                  <c:v>19.923340177960302</c:v>
                </c:pt>
                <c:pt idx="21">
                  <c:v>19.953456536618756</c:v>
                </c:pt>
                <c:pt idx="22">
                  <c:v>19.956194387405887</c:v>
                </c:pt>
                <c:pt idx="23">
                  <c:v>19.989048596851472</c:v>
                </c:pt>
                <c:pt idx="24">
                  <c:v>19.994524298425734</c:v>
                </c:pt>
                <c:pt idx="25">
                  <c:v>20.035592060232716</c:v>
                </c:pt>
                <c:pt idx="26">
                  <c:v>20.038329911019851</c:v>
                </c:pt>
                <c:pt idx="27">
                  <c:v>20.120465434633811</c:v>
                </c:pt>
                <c:pt idx="28">
                  <c:v>20.840520191649556</c:v>
                </c:pt>
                <c:pt idx="29">
                  <c:v>20.914442162902123</c:v>
                </c:pt>
                <c:pt idx="30">
                  <c:v>20.917180013689254</c:v>
                </c:pt>
                <c:pt idx="31">
                  <c:v>20.950034223134839</c:v>
                </c:pt>
                <c:pt idx="32">
                  <c:v>20.95277207392197</c:v>
                </c:pt>
                <c:pt idx="33">
                  <c:v>20.985626283367555</c:v>
                </c:pt>
                <c:pt idx="34">
                  <c:v>20.991101984941821</c:v>
                </c:pt>
                <c:pt idx="35">
                  <c:v>21.100616016427104</c:v>
                </c:pt>
                <c:pt idx="36">
                  <c:v>21.856262833675565</c:v>
                </c:pt>
                <c:pt idx="37">
                  <c:v>21.87542778918549</c:v>
                </c:pt>
                <c:pt idx="38">
                  <c:v>21.908281998631075</c:v>
                </c:pt>
                <c:pt idx="39">
                  <c:v>21.913757700205338</c:v>
                </c:pt>
                <c:pt idx="40">
                  <c:v>21.946611909650922</c:v>
                </c:pt>
                <c:pt idx="41">
                  <c:v>21.949349760438057</c:v>
                </c:pt>
                <c:pt idx="42">
                  <c:v>21.982203969883642</c:v>
                </c:pt>
                <c:pt idx="43">
                  <c:v>21.987679671457904</c:v>
                </c:pt>
                <c:pt idx="44">
                  <c:v>22.067077344284737</c:v>
                </c:pt>
                <c:pt idx="45">
                  <c:v>22.069815195071868</c:v>
                </c:pt>
                <c:pt idx="46">
                  <c:v>22.083504449007528</c:v>
                </c:pt>
                <c:pt idx="47">
                  <c:v>22.102669404517453</c:v>
                </c:pt>
                <c:pt idx="48">
                  <c:v>22.160164271047229</c:v>
                </c:pt>
                <c:pt idx="49">
                  <c:v>22.16290212183436</c:v>
                </c:pt>
                <c:pt idx="50">
                  <c:v>22.910335386721425</c:v>
                </c:pt>
                <c:pt idx="51">
                  <c:v>22.965092402464066</c:v>
                </c:pt>
                <c:pt idx="52">
                  <c:v>22.981519507186857</c:v>
                </c:pt>
                <c:pt idx="53">
                  <c:v>23.060917180013689</c:v>
                </c:pt>
                <c:pt idx="54">
                  <c:v>23.06365503080082</c:v>
                </c:pt>
                <c:pt idx="55">
                  <c:v>23.085557837097877</c:v>
                </c:pt>
                <c:pt idx="56">
                  <c:v>23.09924709103354</c:v>
                </c:pt>
                <c:pt idx="57">
                  <c:v>23.140314852840522</c:v>
                </c:pt>
                <c:pt idx="58">
                  <c:v>23.143052703627653</c:v>
                </c:pt>
                <c:pt idx="59">
                  <c:v>23.148528405201915</c:v>
                </c:pt>
                <c:pt idx="60">
                  <c:v>23.1813826146475</c:v>
                </c:pt>
                <c:pt idx="61">
                  <c:v>23.906913073237508</c:v>
                </c:pt>
                <c:pt idx="62">
                  <c:v>23.926078028747433</c:v>
                </c:pt>
                <c:pt idx="63">
                  <c:v>23.958932238193018</c:v>
                </c:pt>
                <c:pt idx="64">
                  <c:v>24.057494866529773</c:v>
                </c:pt>
                <c:pt idx="65">
                  <c:v>24.062970568104038</c:v>
                </c:pt>
                <c:pt idx="66">
                  <c:v>24.095824777549623</c:v>
                </c:pt>
                <c:pt idx="67">
                  <c:v>24.156057494866531</c:v>
                </c:pt>
                <c:pt idx="68">
                  <c:v>24.175222450376456</c:v>
                </c:pt>
                <c:pt idx="69">
                  <c:v>24.958247775496236</c:v>
                </c:pt>
                <c:pt idx="70">
                  <c:v>24.974674880219027</c:v>
                </c:pt>
                <c:pt idx="71">
                  <c:v>25.054072553045859</c:v>
                </c:pt>
                <c:pt idx="72">
                  <c:v>25.073237508555785</c:v>
                </c:pt>
                <c:pt idx="73">
                  <c:v>25.111567419575632</c:v>
                </c:pt>
                <c:pt idx="74">
                  <c:v>25.114305270362767</c:v>
                </c:pt>
                <c:pt idx="75">
                  <c:v>25.190965092402465</c:v>
                </c:pt>
                <c:pt idx="76">
                  <c:v>25.204654346338124</c:v>
                </c:pt>
                <c:pt idx="77">
                  <c:v>25.286789869952088</c:v>
                </c:pt>
                <c:pt idx="78">
                  <c:v>25.289527720739219</c:v>
                </c:pt>
              </c:numCache>
            </c:numRef>
          </c:xVal>
          <c:yVal>
            <c:numRef>
              <c:f>'McBride Analysis'!$E$2:$E$80</c:f>
              <c:numCache>
                <c:formatCode>_(* #,##0.00_);_(* \(#,##0.00\);_(* "-"??_);_(@_)</c:formatCode>
                <c:ptCount val="79"/>
                <c:pt idx="0">
                  <c:v>110.2</c:v>
                </c:pt>
                <c:pt idx="1">
                  <c:v>109.99</c:v>
                </c:pt>
                <c:pt idx="2">
                  <c:v>111.55</c:v>
                </c:pt>
                <c:pt idx="3">
                  <c:v>111</c:v>
                </c:pt>
                <c:pt idx="4">
                  <c:v>110.86</c:v>
                </c:pt>
                <c:pt idx="5">
                  <c:v>108.41</c:v>
                </c:pt>
                <c:pt idx="6">
                  <c:v>110.02</c:v>
                </c:pt>
                <c:pt idx="7">
                  <c:v>107.14</c:v>
                </c:pt>
                <c:pt idx="8">
                  <c:v>112.69</c:v>
                </c:pt>
                <c:pt idx="9">
                  <c:v>113.75</c:v>
                </c:pt>
                <c:pt idx="10">
                  <c:v>109.77</c:v>
                </c:pt>
                <c:pt idx="11">
                  <c:v>107.69</c:v>
                </c:pt>
                <c:pt idx="12">
                  <c:v>106.07</c:v>
                </c:pt>
                <c:pt idx="13">
                  <c:v>110.17</c:v>
                </c:pt>
                <c:pt idx="14">
                  <c:v>111.3</c:v>
                </c:pt>
                <c:pt idx="15">
                  <c:v>107.72</c:v>
                </c:pt>
                <c:pt idx="16">
                  <c:v>110.34</c:v>
                </c:pt>
                <c:pt idx="17">
                  <c:v>106.38</c:v>
                </c:pt>
                <c:pt idx="18">
                  <c:v>105.35</c:v>
                </c:pt>
                <c:pt idx="19">
                  <c:v>107.13</c:v>
                </c:pt>
                <c:pt idx="20">
                  <c:v>107.59</c:v>
                </c:pt>
                <c:pt idx="21">
                  <c:v>108.31</c:v>
                </c:pt>
                <c:pt idx="22">
                  <c:v>106.8</c:v>
                </c:pt>
                <c:pt idx="23">
                  <c:v>108.09</c:v>
                </c:pt>
                <c:pt idx="24">
                  <c:v>106.26</c:v>
                </c:pt>
                <c:pt idx="25">
                  <c:v>109.27</c:v>
                </c:pt>
                <c:pt idx="26">
                  <c:v>106.69</c:v>
                </c:pt>
                <c:pt idx="27">
                  <c:v>109.29</c:v>
                </c:pt>
                <c:pt idx="28">
                  <c:v>106.28</c:v>
                </c:pt>
                <c:pt idx="29">
                  <c:v>105.87</c:v>
                </c:pt>
                <c:pt idx="30">
                  <c:v>106.43</c:v>
                </c:pt>
                <c:pt idx="31">
                  <c:v>108.19</c:v>
                </c:pt>
                <c:pt idx="32">
                  <c:v>105.97</c:v>
                </c:pt>
                <c:pt idx="33">
                  <c:v>107.28</c:v>
                </c:pt>
                <c:pt idx="34">
                  <c:v>110.11</c:v>
                </c:pt>
                <c:pt idx="35">
                  <c:v>109.65</c:v>
                </c:pt>
                <c:pt idx="36">
                  <c:v>106.14</c:v>
                </c:pt>
                <c:pt idx="37">
                  <c:v>104.63</c:v>
                </c:pt>
                <c:pt idx="38">
                  <c:v>107.38</c:v>
                </c:pt>
                <c:pt idx="39">
                  <c:v>105.68</c:v>
                </c:pt>
                <c:pt idx="40">
                  <c:v>106.91</c:v>
                </c:pt>
                <c:pt idx="41">
                  <c:v>104.89</c:v>
                </c:pt>
                <c:pt idx="42">
                  <c:v>105.48</c:v>
                </c:pt>
                <c:pt idx="43">
                  <c:v>104.5</c:v>
                </c:pt>
                <c:pt idx="44">
                  <c:v>108.02</c:v>
                </c:pt>
                <c:pt idx="45">
                  <c:v>105.25</c:v>
                </c:pt>
                <c:pt idx="46">
                  <c:v>104.9</c:v>
                </c:pt>
                <c:pt idx="47">
                  <c:v>103.95</c:v>
                </c:pt>
                <c:pt idx="48">
                  <c:v>105.99</c:v>
                </c:pt>
                <c:pt idx="49">
                  <c:v>105.41</c:v>
                </c:pt>
                <c:pt idx="50">
                  <c:v>106.4</c:v>
                </c:pt>
                <c:pt idx="51">
                  <c:v>105.36</c:v>
                </c:pt>
                <c:pt idx="52">
                  <c:v>106.69</c:v>
                </c:pt>
                <c:pt idx="53">
                  <c:v>107.38</c:v>
                </c:pt>
                <c:pt idx="54">
                  <c:v>105.23</c:v>
                </c:pt>
                <c:pt idx="55">
                  <c:v>105.01</c:v>
                </c:pt>
                <c:pt idx="56">
                  <c:v>104.41</c:v>
                </c:pt>
                <c:pt idx="57">
                  <c:v>105.69</c:v>
                </c:pt>
                <c:pt idx="58">
                  <c:v>105.53</c:v>
                </c:pt>
                <c:pt idx="59">
                  <c:v>107.09</c:v>
                </c:pt>
                <c:pt idx="60">
                  <c:v>105.39</c:v>
                </c:pt>
                <c:pt idx="61">
                  <c:v>105.78</c:v>
                </c:pt>
                <c:pt idx="62">
                  <c:v>105.18</c:v>
                </c:pt>
                <c:pt idx="63">
                  <c:v>104.99</c:v>
                </c:pt>
                <c:pt idx="64">
                  <c:v>109.83</c:v>
                </c:pt>
                <c:pt idx="65">
                  <c:v>106.42</c:v>
                </c:pt>
                <c:pt idx="66">
                  <c:v>103.2</c:v>
                </c:pt>
                <c:pt idx="67">
                  <c:v>106.14</c:v>
                </c:pt>
                <c:pt idx="68">
                  <c:v>105.78</c:v>
                </c:pt>
                <c:pt idx="69">
                  <c:v>105.04</c:v>
                </c:pt>
                <c:pt idx="70">
                  <c:v>103.9</c:v>
                </c:pt>
                <c:pt idx="71">
                  <c:v>104.14</c:v>
                </c:pt>
                <c:pt idx="72">
                  <c:v>103.83</c:v>
                </c:pt>
                <c:pt idx="73">
                  <c:v>109.7</c:v>
                </c:pt>
                <c:pt idx="74">
                  <c:v>104.63</c:v>
                </c:pt>
                <c:pt idx="75">
                  <c:v>103.78</c:v>
                </c:pt>
                <c:pt idx="76">
                  <c:v>103.51</c:v>
                </c:pt>
                <c:pt idx="77">
                  <c:v>105.96</c:v>
                </c:pt>
                <c:pt idx="78">
                  <c:v>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0-4FAF-A08C-2260ADB2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9904"/>
        <c:axId val="148581568"/>
      </c:scatterChart>
      <c:valAx>
        <c:axId val="14857990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568"/>
        <c:crosses val="autoZero"/>
        <c:crossBetween val="midCat"/>
      </c:valAx>
      <c:valAx>
        <c:axId val="1485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'McBride Analysis'!$I$24</c:f>
              <c:strCache>
                <c:ptCount val="1"/>
                <c:pt idx="0">
                  <c:v>McBride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4340956556707"/>
                  <c:y val="-0.1780329542140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293110236220472"/>
                  <c:y val="-0.56746609798775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119400699912512"/>
                  <c:y val="-4.3082895888013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'McBride Analysis'!$H$25:$H$33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'McBride Analysis'!$I$25:$I$33</c:f>
              <c:numCache>
                <c:formatCode>General</c:formatCode>
                <c:ptCount val="9"/>
                <c:pt idx="0">
                  <c:v>110.34</c:v>
                </c:pt>
                <c:pt idx="1">
                  <c:v>109.59</c:v>
                </c:pt>
                <c:pt idx="2">
                  <c:v>109.18</c:v>
                </c:pt>
                <c:pt idx="3">
                  <c:v>107.48</c:v>
                </c:pt>
                <c:pt idx="4">
                  <c:v>107.47</c:v>
                </c:pt>
                <c:pt idx="5">
                  <c:v>105.65</c:v>
                </c:pt>
                <c:pt idx="6">
                  <c:v>105.83</c:v>
                </c:pt>
                <c:pt idx="7">
                  <c:v>105.92</c:v>
                </c:pt>
                <c:pt idx="8">
                  <c:v>105.07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2-4E77-9D63-95BA5EDC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38895"/>
        <c:axId val="300839311"/>
      </c:scatterChart>
      <c:valAx>
        <c:axId val="300838895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9311"/>
        <c:crosses val="autoZero"/>
        <c:crossBetween val="midCat"/>
      </c:valAx>
      <c:valAx>
        <c:axId val="3008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Race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7381875374130864"/>
                  <c:y val="-0.6235888743073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021279412441866E-2"/>
                  <c:y val="-0.60845581802274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Analysis'!$C$2:$C$110</c:f>
              <c:numCache>
                <c:formatCode>General</c:formatCode>
                <c:ptCount val="109"/>
                <c:pt idx="0">
                  <c:v>16.492813141683779</c:v>
                </c:pt>
                <c:pt idx="1">
                  <c:v>17.535934291581111</c:v>
                </c:pt>
                <c:pt idx="2">
                  <c:v>17.593429158110883</c:v>
                </c:pt>
                <c:pt idx="3">
                  <c:v>17.659137577002053</c:v>
                </c:pt>
                <c:pt idx="4">
                  <c:v>17.661875427789184</c:v>
                </c:pt>
                <c:pt idx="5">
                  <c:v>17.66735112936345</c:v>
                </c:pt>
                <c:pt idx="6">
                  <c:v>18.395619438740589</c:v>
                </c:pt>
                <c:pt idx="7">
                  <c:v>18.488706365503081</c:v>
                </c:pt>
                <c:pt idx="8">
                  <c:v>18.537987679671456</c:v>
                </c:pt>
                <c:pt idx="9">
                  <c:v>18.559890485968516</c:v>
                </c:pt>
                <c:pt idx="10">
                  <c:v>18.647501711156742</c:v>
                </c:pt>
                <c:pt idx="11">
                  <c:v>18.650239561943874</c:v>
                </c:pt>
                <c:pt idx="12">
                  <c:v>18.721423682409309</c:v>
                </c:pt>
                <c:pt idx="13">
                  <c:v>18.740588637919235</c:v>
                </c:pt>
                <c:pt idx="14">
                  <c:v>19.318275154004105</c:v>
                </c:pt>
                <c:pt idx="15">
                  <c:v>19.3347022587269</c:v>
                </c:pt>
                <c:pt idx="16">
                  <c:v>19.337440109514031</c:v>
                </c:pt>
                <c:pt idx="17">
                  <c:v>19.367556468172484</c:v>
                </c:pt>
                <c:pt idx="18">
                  <c:v>19.370294318959616</c:v>
                </c:pt>
                <c:pt idx="19">
                  <c:v>19.37303216974675</c:v>
                </c:pt>
                <c:pt idx="20">
                  <c:v>19.392197125256672</c:v>
                </c:pt>
                <c:pt idx="21">
                  <c:v>19.468856947296374</c:v>
                </c:pt>
                <c:pt idx="22">
                  <c:v>19.485284052019164</c:v>
                </c:pt>
                <c:pt idx="23">
                  <c:v>20.388774811772759</c:v>
                </c:pt>
                <c:pt idx="24">
                  <c:v>20.454483230663929</c:v>
                </c:pt>
                <c:pt idx="25">
                  <c:v>20.498288843258042</c:v>
                </c:pt>
                <c:pt idx="26">
                  <c:v>20.525667351129364</c:v>
                </c:pt>
                <c:pt idx="27">
                  <c:v>20.602327173169062</c:v>
                </c:pt>
                <c:pt idx="28">
                  <c:v>20.673511293634498</c:v>
                </c:pt>
                <c:pt idx="29">
                  <c:v>20.676249144421629</c:v>
                </c:pt>
                <c:pt idx="30">
                  <c:v>20.695414099931554</c:v>
                </c:pt>
                <c:pt idx="31">
                  <c:v>20.714579055441479</c:v>
                </c:pt>
                <c:pt idx="32">
                  <c:v>20.720054757015742</c:v>
                </c:pt>
                <c:pt idx="33">
                  <c:v>20.736481861738536</c:v>
                </c:pt>
                <c:pt idx="34">
                  <c:v>21.21013004791239</c:v>
                </c:pt>
                <c:pt idx="35">
                  <c:v>21.404517453798768</c:v>
                </c:pt>
                <c:pt idx="36">
                  <c:v>21.440109514031484</c:v>
                </c:pt>
                <c:pt idx="37">
                  <c:v>21.462012320328544</c:v>
                </c:pt>
                <c:pt idx="38">
                  <c:v>21.516769336071185</c:v>
                </c:pt>
                <c:pt idx="39">
                  <c:v>21.519507186858316</c:v>
                </c:pt>
                <c:pt idx="40">
                  <c:v>21.522245037645447</c:v>
                </c:pt>
                <c:pt idx="41">
                  <c:v>21.555099247091032</c:v>
                </c:pt>
                <c:pt idx="42">
                  <c:v>21.560574948665298</c:v>
                </c:pt>
                <c:pt idx="43">
                  <c:v>21.609856262833677</c:v>
                </c:pt>
                <c:pt idx="44">
                  <c:v>21.612594113620808</c:v>
                </c:pt>
                <c:pt idx="45">
                  <c:v>21.61533196440794</c:v>
                </c:pt>
                <c:pt idx="46">
                  <c:v>21.678302532511978</c:v>
                </c:pt>
                <c:pt idx="47">
                  <c:v>21.691991786447637</c:v>
                </c:pt>
                <c:pt idx="48">
                  <c:v>21.697467488021903</c:v>
                </c:pt>
                <c:pt idx="49">
                  <c:v>21.716632443531829</c:v>
                </c:pt>
                <c:pt idx="50">
                  <c:v>22.206707734428473</c:v>
                </c:pt>
                <c:pt idx="51">
                  <c:v>22.250513347022586</c:v>
                </c:pt>
                <c:pt idx="52">
                  <c:v>22.5160848733744</c:v>
                </c:pt>
                <c:pt idx="53">
                  <c:v>22.532511978097194</c:v>
                </c:pt>
                <c:pt idx="54">
                  <c:v>22.570841889117045</c:v>
                </c:pt>
                <c:pt idx="55">
                  <c:v>22.570841889117045</c:v>
                </c:pt>
                <c:pt idx="56">
                  <c:v>22.576317590691307</c:v>
                </c:pt>
                <c:pt idx="57">
                  <c:v>22.592744695414101</c:v>
                </c:pt>
                <c:pt idx="58">
                  <c:v>22.631074606433948</c:v>
                </c:pt>
                <c:pt idx="59">
                  <c:v>22.691307323750856</c:v>
                </c:pt>
                <c:pt idx="60">
                  <c:v>22.694045174537987</c:v>
                </c:pt>
                <c:pt idx="61">
                  <c:v>22.699520876112253</c:v>
                </c:pt>
                <c:pt idx="62">
                  <c:v>22.729637234770706</c:v>
                </c:pt>
                <c:pt idx="63">
                  <c:v>22.746064339493497</c:v>
                </c:pt>
                <c:pt idx="64">
                  <c:v>22.751540041067763</c:v>
                </c:pt>
                <c:pt idx="65">
                  <c:v>23.208761122518823</c:v>
                </c:pt>
                <c:pt idx="66">
                  <c:v>23.397672826830938</c:v>
                </c:pt>
                <c:pt idx="67">
                  <c:v>23.477070499657767</c:v>
                </c:pt>
                <c:pt idx="68">
                  <c:v>23.515400410677618</c:v>
                </c:pt>
                <c:pt idx="69">
                  <c:v>23.550992470910334</c:v>
                </c:pt>
                <c:pt idx="70">
                  <c:v>23.635865845311429</c:v>
                </c:pt>
                <c:pt idx="71">
                  <c:v>23.638603696098563</c:v>
                </c:pt>
                <c:pt idx="72">
                  <c:v>23.644079397672826</c:v>
                </c:pt>
                <c:pt idx="73">
                  <c:v>23.701574264202602</c:v>
                </c:pt>
                <c:pt idx="74">
                  <c:v>24.394250513347021</c:v>
                </c:pt>
                <c:pt idx="75">
                  <c:v>24.435318275154003</c:v>
                </c:pt>
                <c:pt idx="76">
                  <c:v>25.451060917180012</c:v>
                </c:pt>
                <c:pt idx="77">
                  <c:v>25.489390828199863</c:v>
                </c:pt>
                <c:pt idx="78">
                  <c:v>25.566050650239561</c:v>
                </c:pt>
                <c:pt idx="79">
                  <c:v>25.582477754962355</c:v>
                </c:pt>
                <c:pt idx="80">
                  <c:v>25.612594113620808</c:v>
                </c:pt>
                <c:pt idx="81">
                  <c:v>25.61533196440794</c:v>
                </c:pt>
                <c:pt idx="82">
                  <c:v>25.618069815195071</c:v>
                </c:pt>
                <c:pt idx="83">
                  <c:v>25.694729637234772</c:v>
                </c:pt>
                <c:pt idx="84">
                  <c:v>26.236824093086927</c:v>
                </c:pt>
                <c:pt idx="85">
                  <c:v>26.255989048596852</c:v>
                </c:pt>
                <c:pt idx="86">
                  <c:v>26.48596851471595</c:v>
                </c:pt>
                <c:pt idx="87">
                  <c:v>26.557152635181382</c:v>
                </c:pt>
                <c:pt idx="88">
                  <c:v>26.600958247775495</c:v>
                </c:pt>
                <c:pt idx="89">
                  <c:v>26.617385352498289</c:v>
                </c:pt>
                <c:pt idx="90">
                  <c:v>26.62012320328542</c:v>
                </c:pt>
                <c:pt idx="91">
                  <c:v>26.677618069815196</c:v>
                </c:pt>
                <c:pt idx="92">
                  <c:v>26.680355920602327</c:v>
                </c:pt>
                <c:pt idx="93">
                  <c:v>26.68583162217659</c:v>
                </c:pt>
                <c:pt idx="94">
                  <c:v>26.710472279260781</c:v>
                </c:pt>
                <c:pt idx="95">
                  <c:v>27.214236824093089</c:v>
                </c:pt>
                <c:pt idx="96">
                  <c:v>27.23340177960301</c:v>
                </c:pt>
                <c:pt idx="97">
                  <c:v>27.405886379192335</c:v>
                </c:pt>
                <c:pt idx="98">
                  <c:v>27.496235455167692</c:v>
                </c:pt>
                <c:pt idx="99">
                  <c:v>27.534565366187543</c:v>
                </c:pt>
                <c:pt idx="100">
                  <c:v>27.537303216974674</c:v>
                </c:pt>
                <c:pt idx="101">
                  <c:v>27.583846680355922</c:v>
                </c:pt>
                <c:pt idx="102">
                  <c:v>27.652292950034223</c:v>
                </c:pt>
                <c:pt idx="103">
                  <c:v>27.655030800821354</c:v>
                </c:pt>
                <c:pt idx="104">
                  <c:v>27.66050650239562</c:v>
                </c:pt>
                <c:pt idx="105">
                  <c:v>27.71252566735113</c:v>
                </c:pt>
                <c:pt idx="106">
                  <c:v>28.402464065708418</c:v>
                </c:pt>
                <c:pt idx="107">
                  <c:v>28.479123887748116</c:v>
                </c:pt>
                <c:pt idx="108">
                  <c:v>28.544832306639289</c:v>
                </c:pt>
              </c:numCache>
            </c:numRef>
          </c:xVal>
          <c:yVal>
            <c:numRef>
              <c:f>'Rudisha Analysis'!$D$2:$D$110</c:f>
              <c:numCache>
                <c:formatCode>_(* #,##0.00_);_(* \(#,##0.00\);_(* "-"??_);_(@_)</c:formatCode>
                <c:ptCount val="109"/>
                <c:pt idx="0">
                  <c:v>111.2</c:v>
                </c:pt>
                <c:pt idx="1">
                  <c:v>106.3</c:v>
                </c:pt>
                <c:pt idx="2">
                  <c:v>107.5</c:v>
                </c:pt>
                <c:pt idx="3">
                  <c:v>109.12</c:v>
                </c:pt>
                <c:pt idx="4">
                  <c:v>107.24</c:v>
                </c:pt>
                <c:pt idx="5">
                  <c:v>107.4</c:v>
                </c:pt>
                <c:pt idx="6">
                  <c:v>105.63</c:v>
                </c:pt>
                <c:pt idx="7">
                  <c:v>107.3</c:v>
                </c:pt>
                <c:pt idx="8">
                  <c:v>105.1</c:v>
                </c:pt>
                <c:pt idx="9">
                  <c:v>105.82</c:v>
                </c:pt>
                <c:pt idx="10">
                  <c:v>108.09</c:v>
                </c:pt>
                <c:pt idx="11">
                  <c:v>106.41</c:v>
                </c:pt>
                <c:pt idx="12">
                  <c:v>105.51</c:v>
                </c:pt>
                <c:pt idx="13">
                  <c:v>104.15</c:v>
                </c:pt>
                <c:pt idx="14">
                  <c:v>107</c:v>
                </c:pt>
                <c:pt idx="15">
                  <c:v>107.9</c:v>
                </c:pt>
                <c:pt idx="16">
                  <c:v>104.38</c:v>
                </c:pt>
                <c:pt idx="17">
                  <c:v>112.93</c:v>
                </c:pt>
                <c:pt idx="18">
                  <c:v>108.82</c:v>
                </c:pt>
                <c:pt idx="19">
                  <c:v>104.2</c:v>
                </c:pt>
                <c:pt idx="20">
                  <c:v>104.36</c:v>
                </c:pt>
                <c:pt idx="21">
                  <c:v>103.72</c:v>
                </c:pt>
                <c:pt idx="22">
                  <c:v>104.47</c:v>
                </c:pt>
                <c:pt idx="23">
                  <c:v>104.78</c:v>
                </c:pt>
                <c:pt idx="24">
                  <c:v>103.53</c:v>
                </c:pt>
                <c:pt idx="25">
                  <c:v>104.09</c:v>
                </c:pt>
                <c:pt idx="26">
                  <c:v>107.1</c:v>
                </c:pt>
                <c:pt idx="27">
                  <c:v>107</c:v>
                </c:pt>
                <c:pt idx="28">
                  <c:v>107.83</c:v>
                </c:pt>
                <c:pt idx="29">
                  <c:v>105.4</c:v>
                </c:pt>
                <c:pt idx="30">
                  <c:v>103.52</c:v>
                </c:pt>
                <c:pt idx="31">
                  <c:v>105.8</c:v>
                </c:pt>
                <c:pt idx="32">
                  <c:v>102.01</c:v>
                </c:pt>
                <c:pt idx="33">
                  <c:v>104.85</c:v>
                </c:pt>
                <c:pt idx="34">
                  <c:v>103.15</c:v>
                </c:pt>
                <c:pt idx="35">
                  <c:v>103</c:v>
                </c:pt>
                <c:pt idx="36">
                  <c:v>104.03</c:v>
                </c:pt>
                <c:pt idx="37">
                  <c:v>102.04</c:v>
                </c:pt>
                <c:pt idx="38">
                  <c:v>106.1</c:v>
                </c:pt>
                <c:pt idx="39">
                  <c:v>105.51</c:v>
                </c:pt>
                <c:pt idx="40">
                  <c:v>104.23</c:v>
                </c:pt>
                <c:pt idx="41">
                  <c:v>103.25</c:v>
                </c:pt>
                <c:pt idx="42">
                  <c:v>101.51</c:v>
                </c:pt>
                <c:pt idx="43">
                  <c:v>110.51</c:v>
                </c:pt>
                <c:pt idx="44">
                  <c:v>106.58</c:v>
                </c:pt>
                <c:pt idx="45">
                  <c:v>102.84</c:v>
                </c:pt>
                <c:pt idx="46">
                  <c:v>101.09</c:v>
                </c:pt>
                <c:pt idx="47">
                  <c:v>103.5</c:v>
                </c:pt>
                <c:pt idx="48">
                  <c:v>101.01</c:v>
                </c:pt>
                <c:pt idx="49">
                  <c:v>103.37</c:v>
                </c:pt>
                <c:pt idx="50">
                  <c:v>103.88</c:v>
                </c:pt>
                <c:pt idx="51">
                  <c:v>104.8</c:v>
                </c:pt>
                <c:pt idx="52">
                  <c:v>103.46</c:v>
                </c:pt>
                <c:pt idx="53">
                  <c:v>104.15</c:v>
                </c:pt>
                <c:pt idx="54">
                  <c:v>106.7</c:v>
                </c:pt>
                <c:pt idx="55">
                  <c:v>105.3</c:v>
                </c:pt>
                <c:pt idx="56">
                  <c:v>103.76</c:v>
                </c:pt>
                <c:pt idx="57">
                  <c:v>102.61</c:v>
                </c:pt>
                <c:pt idx="58">
                  <c:v>102.91</c:v>
                </c:pt>
                <c:pt idx="59">
                  <c:v>106.29</c:v>
                </c:pt>
                <c:pt idx="60">
                  <c:v>104.2</c:v>
                </c:pt>
                <c:pt idx="61">
                  <c:v>103.91</c:v>
                </c:pt>
                <c:pt idx="62">
                  <c:v>101.33</c:v>
                </c:pt>
                <c:pt idx="63">
                  <c:v>103.96</c:v>
                </c:pt>
                <c:pt idx="64">
                  <c:v>103.57</c:v>
                </c:pt>
                <c:pt idx="65">
                  <c:v>104.33</c:v>
                </c:pt>
                <c:pt idx="66">
                  <c:v>103.1</c:v>
                </c:pt>
                <c:pt idx="67">
                  <c:v>101.74</c:v>
                </c:pt>
                <c:pt idx="68">
                  <c:v>102.12</c:v>
                </c:pt>
                <c:pt idx="69">
                  <c:v>101.54</c:v>
                </c:pt>
                <c:pt idx="70">
                  <c:v>105.9</c:v>
                </c:pt>
                <c:pt idx="71">
                  <c:v>104.35</c:v>
                </c:pt>
                <c:pt idx="72">
                  <c:v>100.91</c:v>
                </c:pt>
                <c:pt idx="73">
                  <c:v>102.81</c:v>
                </c:pt>
                <c:pt idx="74">
                  <c:v>103.87</c:v>
                </c:pt>
                <c:pt idx="75">
                  <c:v>105.14</c:v>
                </c:pt>
                <c:pt idx="76">
                  <c:v>104.87</c:v>
                </c:pt>
                <c:pt idx="77">
                  <c:v>104.63</c:v>
                </c:pt>
                <c:pt idx="78">
                  <c:v>103.34</c:v>
                </c:pt>
                <c:pt idx="79">
                  <c:v>102.98</c:v>
                </c:pt>
                <c:pt idx="80">
                  <c:v>106.89</c:v>
                </c:pt>
                <c:pt idx="81">
                  <c:v>106.61</c:v>
                </c:pt>
                <c:pt idx="82">
                  <c:v>105.48</c:v>
                </c:pt>
                <c:pt idx="83">
                  <c:v>103.96</c:v>
                </c:pt>
                <c:pt idx="84">
                  <c:v>105.01</c:v>
                </c:pt>
                <c:pt idx="85">
                  <c:v>104.94</c:v>
                </c:pt>
                <c:pt idx="86">
                  <c:v>103.58</c:v>
                </c:pt>
                <c:pt idx="87">
                  <c:v>103.76</c:v>
                </c:pt>
                <c:pt idx="88">
                  <c:v>104.67</c:v>
                </c:pt>
                <c:pt idx="89">
                  <c:v>104.2</c:v>
                </c:pt>
                <c:pt idx="90">
                  <c:v>103.89</c:v>
                </c:pt>
                <c:pt idx="91">
                  <c:v>108.31</c:v>
                </c:pt>
                <c:pt idx="92">
                  <c:v>107.7</c:v>
                </c:pt>
                <c:pt idx="93">
                  <c:v>105.84</c:v>
                </c:pt>
                <c:pt idx="94">
                  <c:v>105.91</c:v>
                </c:pt>
                <c:pt idx="95">
                  <c:v>104.78</c:v>
                </c:pt>
                <c:pt idx="96">
                  <c:v>104.89</c:v>
                </c:pt>
                <c:pt idx="97">
                  <c:v>106.24</c:v>
                </c:pt>
                <c:pt idx="98">
                  <c:v>105.69</c:v>
                </c:pt>
                <c:pt idx="99">
                  <c:v>103.4</c:v>
                </c:pt>
                <c:pt idx="100">
                  <c:v>104.23</c:v>
                </c:pt>
                <c:pt idx="101">
                  <c:v>103.35</c:v>
                </c:pt>
                <c:pt idx="102">
                  <c:v>105.09</c:v>
                </c:pt>
                <c:pt idx="103">
                  <c:v>103.88</c:v>
                </c:pt>
                <c:pt idx="104">
                  <c:v>102.15</c:v>
                </c:pt>
                <c:pt idx="105">
                  <c:v>103.31</c:v>
                </c:pt>
                <c:pt idx="106">
                  <c:v>105.36</c:v>
                </c:pt>
                <c:pt idx="107">
                  <c:v>104.9</c:v>
                </c:pt>
                <c:pt idx="108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54F-B99D-28CDFA32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46063"/>
        <c:axId val="472048975"/>
      </c:scatterChart>
      <c:valAx>
        <c:axId val="472046063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8975"/>
        <c:crosses val="autoZero"/>
        <c:crossBetween val="midCat"/>
      </c:valAx>
      <c:valAx>
        <c:axId val="472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'Rudisha Analysis'!$I$24</c:f>
              <c:strCache>
                <c:ptCount val="1"/>
                <c:pt idx="0">
                  <c:v>Rudisha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90507436570426"/>
                  <c:y val="1.8917687372411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8380796150481191"/>
                  <c:y val="-0.17455453484981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2650831146106736"/>
                  <c:y val="-0.45440398075240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'Rudisha Analysis'!$H$25:$H$37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</c:numCache>
            </c:numRef>
          </c:xVal>
          <c:yVal>
            <c:numRef>
              <c:f>'Rudisha Analysis'!$I$25:$I$37</c:f>
              <c:numCache>
                <c:formatCode>0.00</c:formatCode>
                <c:ptCount val="13"/>
                <c:pt idx="0">
                  <c:v>111.2</c:v>
                </c:pt>
                <c:pt idx="1">
                  <c:v>107.51</c:v>
                </c:pt>
                <c:pt idx="2">
                  <c:v>106</c:v>
                </c:pt>
                <c:pt idx="3">
                  <c:v>106.42</c:v>
                </c:pt>
                <c:pt idx="4">
                  <c:v>105.08</c:v>
                </c:pt>
                <c:pt idx="5">
                  <c:v>103.86</c:v>
                </c:pt>
                <c:pt idx="6">
                  <c:v>104.06</c:v>
                </c:pt>
                <c:pt idx="7">
                  <c:v>102.98</c:v>
                </c:pt>
                <c:pt idx="8">
                  <c:v>104.51</c:v>
                </c:pt>
                <c:pt idx="9">
                  <c:v>104.85</c:v>
                </c:pt>
                <c:pt idx="10">
                  <c:v>105.26</c:v>
                </c:pt>
                <c:pt idx="11">
                  <c:v>104.27</c:v>
                </c:pt>
                <c:pt idx="12">
                  <c:v>105.05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233-BE91-6770A486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2639"/>
        <c:axId val="469343055"/>
      </c:scatterChart>
      <c:valAx>
        <c:axId val="4693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3055"/>
        <c:crosses val="autoZero"/>
        <c:crossBetween val="midCat"/>
      </c:valAx>
      <c:valAx>
        <c:axId val="4693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'Lewandowski Analysis'!$I$24</c:f>
              <c:strCache>
                <c:ptCount val="1"/>
                <c:pt idx="0">
                  <c:v>Lewandowski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797834645669294"/>
                  <c:y val="-0.65050962379702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5229877515310588E-2"/>
                  <c:y val="-0.48568059200933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'Lewandowski Analysis'!$H$25:$H$41</c:f>
              <c:numCache>
                <c:formatCode>General</c:formatCode>
                <c:ptCount val="1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</c:numCache>
            </c:numRef>
          </c:xVal>
          <c:yVal>
            <c:numRef>
              <c:f>'Lewandowski Analysis'!$I$25:$I$41</c:f>
              <c:numCache>
                <c:formatCode>0.00</c:formatCode>
                <c:ptCount val="17"/>
                <c:pt idx="0">
                  <c:v>112.155</c:v>
                </c:pt>
                <c:pt idx="1">
                  <c:v>109.72333333333334</c:v>
                </c:pt>
                <c:pt idx="2">
                  <c:v>108.62142857142858</c:v>
                </c:pt>
                <c:pt idx="3">
                  <c:v>108.59428571428573</c:v>
                </c:pt>
                <c:pt idx="4">
                  <c:v>107.06571428571429</c:v>
                </c:pt>
                <c:pt idx="5">
                  <c:v>107.27411764705882</c:v>
                </c:pt>
                <c:pt idx="6">
                  <c:v>105.98153846153845</c:v>
                </c:pt>
                <c:pt idx="7">
                  <c:v>106.69470588235293</c:v>
                </c:pt>
                <c:pt idx="8">
                  <c:v>106.21909090909092</c:v>
                </c:pt>
                <c:pt idx="9">
                  <c:v>105.49083333333333</c:v>
                </c:pt>
                <c:pt idx="10">
                  <c:v>105.89866666666667</c:v>
                </c:pt>
                <c:pt idx="11">
                  <c:v>106.8192857142857</c:v>
                </c:pt>
                <c:pt idx="12">
                  <c:v>106.44822000000001</c:v>
                </c:pt>
                <c:pt idx="13">
                  <c:v>105.87111111111112</c:v>
                </c:pt>
                <c:pt idx="14">
                  <c:v>106.43111111111112</c:v>
                </c:pt>
                <c:pt idx="15">
                  <c:v>106.48800000000001</c:v>
                </c:pt>
                <c:pt idx="16" formatCode="General">
                  <c:v>105.78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9-463C-A774-6A79D19A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80896"/>
        <c:axId val="1385781728"/>
      </c:scatterChart>
      <c:valAx>
        <c:axId val="138578089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1728"/>
        <c:crosses val="autoZero"/>
        <c:crossBetween val="midCat"/>
      </c:valAx>
      <c:valAx>
        <c:axId val="13857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'Lewandowski Analysis'!$D$1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929111986001751"/>
                  <c:y val="-0.46215733449985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68055555555555558"/>
                  <c:y val="-0.72182633420822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'Lewandowski Analysis'!$C$2:$C$185</c:f>
              <c:numCache>
                <c:formatCode>_(* #,##0.00_);_(* \(#,##0.00\);_(* "-"??_);_(@_)</c:formatCode>
                <c:ptCount val="184"/>
                <c:pt idx="0">
                  <c:v>16.941820670773442</c:v>
                </c:pt>
                <c:pt idx="1">
                  <c:v>17.002053388090349</c:v>
                </c:pt>
                <c:pt idx="2">
                  <c:v>17.960301163586585</c:v>
                </c:pt>
                <c:pt idx="3">
                  <c:v>17.998631074606433</c:v>
                </c:pt>
                <c:pt idx="4">
                  <c:v>18.064339493497606</c:v>
                </c:pt>
                <c:pt idx="5">
                  <c:v>18.967830253251197</c:v>
                </c:pt>
                <c:pt idx="6">
                  <c:v>18.992470910335388</c:v>
                </c:pt>
                <c:pt idx="7">
                  <c:v>19.030800821355236</c:v>
                </c:pt>
                <c:pt idx="8">
                  <c:v>19.071868583162217</c:v>
                </c:pt>
                <c:pt idx="9">
                  <c:v>19.173169062286107</c:v>
                </c:pt>
                <c:pt idx="10">
                  <c:v>19.175906913073238</c:v>
                </c:pt>
                <c:pt idx="11">
                  <c:v>19.1813826146475</c:v>
                </c:pt>
                <c:pt idx="12">
                  <c:v>19.931553730321699</c:v>
                </c:pt>
                <c:pt idx="13">
                  <c:v>19.950718685831621</c:v>
                </c:pt>
                <c:pt idx="14">
                  <c:v>20.038329911019851</c:v>
                </c:pt>
                <c:pt idx="15">
                  <c:v>20.049281314168379</c:v>
                </c:pt>
                <c:pt idx="16">
                  <c:v>20.079397672826833</c:v>
                </c:pt>
                <c:pt idx="17">
                  <c:v>20.084873374401095</c:v>
                </c:pt>
                <c:pt idx="18">
                  <c:v>20.10403832991102</c:v>
                </c:pt>
                <c:pt idx="19">
                  <c:v>20.123203285420946</c:v>
                </c:pt>
                <c:pt idx="20">
                  <c:v>20.161533196440793</c:v>
                </c:pt>
                <c:pt idx="21">
                  <c:v>20.167008898015059</c:v>
                </c:pt>
                <c:pt idx="22">
                  <c:v>20.16974674880219</c:v>
                </c:pt>
                <c:pt idx="23">
                  <c:v>20.240930869267626</c:v>
                </c:pt>
                <c:pt idx="24">
                  <c:v>20.260095824777551</c:v>
                </c:pt>
                <c:pt idx="25">
                  <c:v>20.268309377138944</c:v>
                </c:pt>
                <c:pt idx="26">
                  <c:v>20.947296372347708</c:v>
                </c:pt>
                <c:pt idx="27">
                  <c:v>20.966461327857633</c:v>
                </c:pt>
                <c:pt idx="28">
                  <c:v>20.999315537303218</c:v>
                </c:pt>
                <c:pt idx="29">
                  <c:v>21.007529089664612</c:v>
                </c:pt>
                <c:pt idx="30">
                  <c:v>21.026694045174537</c:v>
                </c:pt>
                <c:pt idx="31">
                  <c:v>21.034907597535934</c:v>
                </c:pt>
                <c:pt idx="32">
                  <c:v>21.119780971937029</c:v>
                </c:pt>
                <c:pt idx="33">
                  <c:v>21.188227241615333</c:v>
                </c:pt>
                <c:pt idx="34">
                  <c:v>21.190965092402465</c:v>
                </c:pt>
                <c:pt idx="35">
                  <c:v>21.223819301848049</c:v>
                </c:pt>
                <c:pt idx="36">
                  <c:v>21.237508555783709</c:v>
                </c:pt>
                <c:pt idx="37">
                  <c:v>21.245722108145106</c:v>
                </c:pt>
                <c:pt idx="38">
                  <c:v>21.253935660506503</c:v>
                </c:pt>
                <c:pt idx="39">
                  <c:v>21.264887063655031</c:v>
                </c:pt>
                <c:pt idx="40">
                  <c:v>21.968514715947983</c:v>
                </c:pt>
                <c:pt idx="41">
                  <c:v>21.984941820670773</c:v>
                </c:pt>
                <c:pt idx="42">
                  <c:v>21.99315537303217</c:v>
                </c:pt>
                <c:pt idx="43">
                  <c:v>22.05886379192334</c:v>
                </c:pt>
                <c:pt idx="44">
                  <c:v>22.067077344284737</c:v>
                </c:pt>
                <c:pt idx="45">
                  <c:v>22.091718001368925</c:v>
                </c:pt>
                <c:pt idx="46">
                  <c:v>22.097193702943191</c:v>
                </c:pt>
                <c:pt idx="47">
                  <c:v>22.12457221081451</c:v>
                </c:pt>
                <c:pt idx="48">
                  <c:v>22.187542778918548</c:v>
                </c:pt>
                <c:pt idx="49">
                  <c:v>22.190280629705683</c:v>
                </c:pt>
                <c:pt idx="50">
                  <c:v>22.195756331279945</c:v>
                </c:pt>
                <c:pt idx="51">
                  <c:v>22.209445585215605</c:v>
                </c:pt>
                <c:pt idx="52">
                  <c:v>22.217659137577002</c:v>
                </c:pt>
                <c:pt idx="53">
                  <c:v>22.22861054072553</c:v>
                </c:pt>
                <c:pt idx="54">
                  <c:v>22.258726899383984</c:v>
                </c:pt>
                <c:pt idx="55">
                  <c:v>22.272416153319643</c:v>
                </c:pt>
                <c:pt idx="56">
                  <c:v>22.286105407255306</c:v>
                </c:pt>
                <c:pt idx="57">
                  <c:v>22.954140999315538</c:v>
                </c:pt>
                <c:pt idx="58">
                  <c:v>22.962354551676935</c:v>
                </c:pt>
                <c:pt idx="59">
                  <c:v>22.976043805612594</c:v>
                </c:pt>
                <c:pt idx="60">
                  <c:v>22.981519507186857</c:v>
                </c:pt>
                <c:pt idx="61">
                  <c:v>23.019849418206707</c:v>
                </c:pt>
                <c:pt idx="62">
                  <c:v>23.069130732375086</c:v>
                </c:pt>
                <c:pt idx="63">
                  <c:v>23.123887748117728</c:v>
                </c:pt>
                <c:pt idx="64">
                  <c:v>23.126625598904859</c:v>
                </c:pt>
                <c:pt idx="65">
                  <c:v>23.132101300479125</c:v>
                </c:pt>
                <c:pt idx="66">
                  <c:v>23.148528405201915</c:v>
                </c:pt>
                <c:pt idx="67">
                  <c:v>23.206023271731691</c:v>
                </c:pt>
                <c:pt idx="68">
                  <c:v>23.211498973305954</c:v>
                </c:pt>
                <c:pt idx="69">
                  <c:v>23.230663928815879</c:v>
                </c:pt>
                <c:pt idx="70">
                  <c:v>23.89596167008898</c:v>
                </c:pt>
                <c:pt idx="71">
                  <c:v>23.958932238193018</c:v>
                </c:pt>
                <c:pt idx="72">
                  <c:v>23.972621492128678</c:v>
                </c:pt>
                <c:pt idx="73">
                  <c:v>24.046543463381244</c:v>
                </c:pt>
                <c:pt idx="74">
                  <c:v>24.073921971252567</c:v>
                </c:pt>
                <c:pt idx="75">
                  <c:v>24.098562628336754</c:v>
                </c:pt>
                <c:pt idx="76">
                  <c:v>24.101300479123889</c:v>
                </c:pt>
                <c:pt idx="77">
                  <c:v>24.106776180698152</c:v>
                </c:pt>
                <c:pt idx="78">
                  <c:v>24.161533196440793</c:v>
                </c:pt>
                <c:pt idx="79">
                  <c:v>24.164271047227928</c:v>
                </c:pt>
                <c:pt idx="80">
                  <c:v>24.205338809034906</c:v>
                </c:pt>
                <c:pt idx="81">
                  <c:v>24.208076659822041</c:v>
                </c:pt>
                <c:pt idx="82">
                  <c:v>24.213552361396303</c:v>
                </c:pt>
                <c:pt idx="83">
                  <c:v>24.243668720054757</c:v>
                </c:pt>
                <c:pt idx="84">
                  <c:v>24.260095824777551</c:v>
                </c:pt>
                <c:pt idx="85">
                  <c:v>24.265571526351813</c:v>
                </c:pt>
                <c:pt idx="86">
                  <c:v>24.271047227926079</c:v>
                </c:pt>
                <c:pt idx="87">
                  <c:v>24.933607118412045</c:v>
                </c:pt>
                <c:pt idx="88">
                  <c:v>24.955509924709105</c:v>
                </c:pt>
                <c:pt idx="89">
                  <c:v>24.966461327857633</c:v>
                </c:pt>
                <c:pt idx="90">
                  <c:v>24.974674880219027</c:v>
                </c:pt>
                <c:pt idx="91">
                  <c:v>25.103353867214238</c:v>
                </c:pt>
                <c:pt idx="92">
                  <c:v>25.149897330595483</c:v>
                </c:pt>
                <c:pt idx="93">
                  <c:v>25.152635181382614</c:v>
                </c:pt>
                <c:pt idx="94">
                  <c:v>25.180013689253936</c:v>
                </c:pt>
                <c:pt idx="95">
                  <c:v>25.185489390828199</c:v>
                </c:pt>
                <c:pt idx="96">
                  <c:v>25.190965092402465</c:v>
                </c:pt>
                <c:pt idx="97">
                  <c:v>25.240246406570844</c:v>
                </c:pt>
                <c:pt idx="98">
                  <c:v>25.987679671457904</c:v>
                </c:pt>
                <c:pt idx="99">
                  <c:v>26.05886379192334</c:v>
                </c:pt>
                <c:pt idx="100">
                  <c:v>26.083504449007528</c:v>
                </c:pt>
                <c:pt idx="101">
                  <c:v>26.099931553730322</c:v>
                </c:pt>
                <c:pt idx="102">
                  <c:v>26.160164271047229</c:v>
                </c:pt>
                <c:pt idx="103">
                  <c:v>26.16290212183436</c:v>
                </c:pt>
                <c:pt idx="104">
                  <c:v>26.168377823408623</c:v>
                </c:pt>
                <c:pt idx="105">
                  <c:v>26.201232032854211</c:v>
                </c:pt>
                <c:pt idx="106">
                  <c:v>26.212183436002739</c:v>
                </c:pt>
                <c:pt idx="107">
                  <c:v>26.217659137577002</c:v>
                </c:pt>
                <c:pt idx="108">
                  <c:v>26.234086242299796</c:v>
                </c:pt>
                <c:pt idx="109">
                  <c:v>26.258726899383984</c:v>
                </c:pt>
                <c:pt idx="110">
                  <c:v>26.92950034223135</c:v>
                </c:pt>
                <c:pt idx="111">
                  <c:v>26.965092402464066</c:v>
                </c:pt>
                <c:pt idx="112">
                  <c:v>26.978781656399725</c:v>
                </c:pt>
                <c:pt idx="113">
                  <c:v>26.984257357973991</c:v>
                </c:pt>
                <c:pt idx="114">
                  <c:v>27.003422313483917</c:v>
                </c:pt>
                <c:pt idx="115">
                  <c:v>27.060917180013689</c:v>
                </c:pt>
                <c:pt idx="116">
                  <c:v>27.096509240246405</c:v>
                </c:pt>
                <c:pt idx="117">
                  <c:v>27.126625598904859</c:v>
                </c:pt>
                <c:pt idx="118">
                  <c:v>27.129363449691994</c:v>
                </c:pt>
                <c:pt idx="119">
                  <c:v>27.16495550992471</c:v>
                </c:pt>
                <c:pt idx="120">
                  <c:v>27.167693360711841</c:v>
                </c:pt>
                <c:pt idx="121">
                  <c:v>27.173169062286107</c:v>
                </c:pt>
                <c:pt idx="122">
                  <c:v>27.189596167008897</c:v>
                </c:pt>
                <c:pt idx="123">
                  <c:v>27.208761122518823</c:v>
                </c:pt>
                <c:pt idx="124">
                  <c:v>27.21697467488022</c:v>
                </c:pt>
                <c:pt idx="125">
                  <c:v>27.945242984257359</c:v>
                </c:pt>
                <c:pt idx="126">
                  <c:v>27.975359342915812</c:v>
                </c:pt>
                <c:pt idx="127">
                  <c:v>27.983572895277206</c:v>
                </c:pt>
                <c:pt idx="128">
                  <c:v>28.071184120465436</c:v>
                </c:pt>
                <c:pt idx="129">
                  <c:v>28.093086926762492</c:v>
                </c:pt>
                <c:pt idx="130">
                  <c:v>28.098562628336754</c:v>
                </c:pt>
                <c:pt idx="131">
                  <c:v>28.101300479123889</c:v>
                </c:pt>
                <c:pt idx="132">
                  <c:v>28.156057494866531</c:v>
                </c:pt>
                <c:pt idx="133">
                  <c:v>28.191649555099247</c:v>
                </c:pt>
                <c:pt idx="134">
                  <c:v>28.194387405886378</c:v>
                </c:pt>
                <c:pt idx="135">
                  <c:v>28.224503764544831</c:v>
                </c:pt>
                <c:pt idx="136">
                  <c:v>28.309377138945926</c:v>
                </c:pt>
                <c:pt idx="137">
                  <c:v>28.312114989733061</c:v>
                </c:pt>
                <c:pt idx="138">
                  <c:v>28.314852840520192</c:v>
                </c:pt>
                <c:pt idx="139">
                  <c:v>28.941820670773442</c:v>
                </c:pt>
                <c:pt idx="140">
                  <c:v>29.00479123887748</c:v>
                </c:pt>
                <c:pt idx="141">
                  <c:v>29.015742642026009</c:v>
                </c:pt>
                <c:pt idx="142">
                  <c:v>29.034907597535934</c:v>
                </c:pt>
                <c:pt idx="143">
                  <c:v>29.037645448323065</c:v>
                </c:pt>
                <c:pt idx="144">
                  <c:v>29.067761806981519</c:v>
                </c:pt>
                <c:pt idx="145">
                  <c:v>29.07049965776865</c:v>
                </c:pt>
                <c:pt idx="146">
                  <c:v>29.075975359342916</c:v>
                </c:pt>
                <c:pt idx="147">
                  <c:v>29.089664613278575</c:v>
                </c:pt>
                <c:pt idx="148">
                  <c:v>29.133470225872689</c:v>
                </c:pt>
                <c:pt idx="149">
                  <c:v>29.166324435318277</c:v>
                </c:pt>
                <c:pt idx="150">
                  <c:v>29.169062286105408</c:v>
                </c:pt>
                <c:pt idx="151">
                  <c:v>29.17453798767967</c:v>
                </c:pt>
                <c:pt idx="152">
                  <c:v>29.207392197125255</c:v>
                </c:pt>
                <c:pt idx="153">
                  <c:v>29.226557152635181</c:v>
                </c:pt>
                <c:pt idx="154">
                  <c:v>29.916495550992472</c:v>
                </c:pt>
                <c:pt idx="155">
                  <c:v>29.971252566735114</c:v>
                </c:pt>
                <c:pt idx="156">
                  <c:v>29.987679671457904</c:v>
                </c:pt>
                <c:pt idx="157">
                  <c:v>29.99315537303217</c:v>
                </c:pt>
                <c:pt idx="158">
                  <c:v>30.097193702943191</c:v>
                </c:pt>
                <c:pt idx="159">
                  <c:v>30.146475017111566</c:v>
                </c:pt>
                <c:pt idx="160">
                  <c:v>30.149212867898701</c:v>
                </c:pt>
                <c:pt idx="161">
                  <c:v>30.187542778918548</c:v>
                </c:pt>
                <c:pt idx="162">
                  <c:v>30.220396988364133</c:v>
                </c:pt>
                <c:pt idx="163">
                  <c:v>30.913073237508556</c:v>
                </c:pt>
                <c:pt idx="164">
                  <c:v>30.932238193018481</c:v>
                </c:pt>
                <c:pt idx="165">
                  <c:v>31.101984941820671</c:v>
                </c:pt>
                <c:pt idx="166">
                  <c:v>31.104722792607802</c:v>
                </c:pt>
                <c:pt idx="167">
                  <c:v>31.107460643394933</c:v>
                </c:pt>
                <c:pt idx="168">
                  <c:v>31.1813826146475</c:v>
                </c:pt>
                <c:pt idx="169">
                  <c:v>31.192334017796028</c:v>
                </c:pt>
                <c:pt idx="170">
                  <c:v>31.21697467488022</c:v>
                </c:pt>
                <c:pt idx="171">
                  <c:v>31.227926078028748</c:v>
                </c:pt>
                <c:pt idx="172">
                  <c:v>31.950718685831621</c:v>
                </c:pt>
                <c:pt idx="173">
                  <c:v>31.961670088980149</c:v>
                </c:pt>
                <c:pt idx="174">
                  <c:v>31.980835044490075</c:v>
                </c:pt>
                <c:pt idx="175">
                  <c:v>31.997262149212869</c:v>
                </c:pt>
                <c:pt idx="176">
                  <c:v>32.060232717316907</c:v>
                </c:pt>
                <c:pt idx="177">
                  <c:v>32.101300479123886</c:v>
                </c:pt>
                <c:pt idx="178">
                  <c:v>32.139630390143736</c:v>
                </c:pt>
                <c:pt idx="179">
                  <c:v>32.172484599589325</c:v>
                </c:pt>
                <c:pt idx="180">
                  <c:v>32.224503764544835</c:v>
                </c:pt>
                <c:pt idx="181">
                  <c:v>32.361396303901437</c:v>
                </c:pt>
                <c:pt idx="182">
                  <c:v>33.201916495550989</c:v>
                </c:pt>
                <c:pt idx="183">
                  <c:v>33.234770704996578</c:v>
                </c:pt>
              </c:numCache>
            </c:numRef>
          </c:xVal>
          <c:yVal>
            <c:numRef>
              <c:f>'Lewandowski Analysis'!$D$2:$D$185</c:f>
              <c:numCache>
                <c:formatCode>General</c:formatCode>
                <c:ptCount val="184"/>
                <c:pt idx="0">
                  <c:v>112.58</c:v>
                </c:pt>
                <c:pt idx="1">
                  <c:v>111.73</c:v>
                </c:pt>
                <c:pt idx="2">
                  <c:v>110.46</c:v>
                </c:pt>
                <c:pt idx="3">
                  <c:v>109.85</c:v>
                </c:pt>
                <c:pt idx="4">
                  <c:v>108.86</c:v>
                </c:pt>
                <c:pt idx="5">
                  <c:v>108.81</c:v>
                </c:pt>
                <c:pt idx="6">
                  <c:v>108.09</c:v>
                </c:pt>
                <c:pt idx="7">
                  <c:v>106.69</c:v>
                </c:pt>
                <c:pt idx="8">
                  <c:v>110.37</c:v>
                </c:pt>
                <c:pt idx="9">
                  <c:v>110.24</c:v>
                </c:pt>
                <c:pt idx="10">
                  <c:v>107.9</c:v>
                </c:pt>
                <c:pt idx="11">
                  <c:v>108.25</c:v>
                </c:pt>
                <c:pt idx="12">
                  <c:v>109.07</c:v>
                </c:pt>
                <c:pt idx="13">
                  <c:v>105.52</c:v>
                </c:pt>
                <c:pt idx="14">
                  <c:v>106.97</c:v>
                </c:pt>
                <c:pt idx="15">
                  <c:v>109.22</c:v>
                </c:pt>
                <c:pt idx="16">
                  <c:v>109.57</c:v>
                </c:pt>
                <c:pt idx="17">
                  <c:v>109.94</c:v>
                </c:pt>
                <c:pt idx="18">
                  <c:v>106.52</c:v>
                </c:pt>
                <c:pt idx="19">
                  <c:v>108.72</c:v>
                </c:pt>
                <c:pt idx="20">
                  <c:v>108.63</c:v>
                </c:pt>
                <c:pt idx="21">
                  <c:v>108.63</c:v>
                </c:pt>
                <c:pt idx="22">
                  <c:v>107.94</c:v>
                </c:pt>
                <c:pt idx="23">
                  <c:v>112.65</c:v>
                </c:pt>
                <c:pt idx="24">
                  <c:v>107.76</c:v>
                </c:pt>
                <c:pt idx="25">
                  <c:v>109.18</c:v>
                </c:pt>
                <c:pt idx="26">
                  <c:v>106.62</c:v>
                </c:pt>
                <c:pt idx="27">
                  <c:v>106.85</c:v>
                </c:pt>
                <c:pt idx="28">
                  <c:v>105.9</c:v>
                </c:pt>
                <c:pt idx="29">
                  <c:v>106.14</c:v>
                </c:pt>
                <c:pt idx="30">
                  <c:v>110.13</c:v>
                </c:pt>
                <c:pt idx="31">
                  <c:v>108.53</c:v>
                </c:pt>
                <c:pt idx="32" formatCode="0.00">
                  <c:v>106.49</c:v>
                </c:pt>
                <c:pt idx="33" formatCode="0.00">
                  <c:v>105.89</c:v>
                </c:pt>
                <c:pt idx="34" formatCode="0.00">
                  <c:v>107.24</c:v>
                </c:pt>
                <c:pt idx="35" formatCode="0.00">
                  <c:v>105.84</c:v>
                </c:pt>
                <c:pt idx="36" formatCode="0.00">
                  <c:v>105.97</c:v>
                </c:pt>
                <c:pt idx="37" formatCode="0.00">
                  <c:v>106.4</c:v>
                </c:pt>
                <c:pt idx="38" formatCode="0.00">
                  <c:v>109.4</c:v>
                </c:pt>
                <c:pt idx="39" formatCode="0.00">
                  <c:v>107.52</c:v>
                </c:pt>
                <c:pt idx="40" formatCode="0.00">
                  <c:v>105.03</c:v>
                </c:pt>
                <c:pt idx="41" formatCode="0.00">
                  <c:v>106.19</c:v>
                </c:pt>
                <c:pt idx="42" formatCode="0.00">
                  <c:v>106.04</c:v>
                </c:pt>
                <c:pt idx="43" formatCode="0.00">
                  <c:v>106.98</c:v>
                </c:pt>
                <c:pt idx="44" formatCode="0.00">
                  <c:v>105.27</c:v>
                </c:pt>
                <c:pt idx="45" formatCode="0.00">
                  <c:v>108.24</c:v>
                </c:pt>
                <c:pt idx="46" formatCode="0.00">
                  <c:v>106.52</c:v>
                </c:pt>
                <c:pt idx="47" formatCode="0.00">
                  <c:v>103.84</c:v>
                </c:pt>
                <c:pt idx="48" formatCode="0.00">
                  <c:v>108.41</c:v>
                </c:pt>
                <c:pt idx="49" formatCode="0.00">
                  <c:v>121.62</c:v>
                </c:pt>
                <c:pt idx="50" formatCode="0.00">
                  <c:v>106.17</c:v>
                </c:pt>
                <c:pt idx="51" formatCode="0.00">
                  <c:v>104.89</c:v>
                </c:pt>
                <c:pt idx="52" formatCode="0.00">
                  <c:v>108.37</c:v>
                </c:pt>
                <c:pt idx="53" formatCode="0.00">
                  <c:v>107.55</c:v>
                </c:pt>
                <c:pt idx="54" formatCode="0.00">
                  <c:v>106.82</c:v>
                </c:pt>
                <c:pt idx="55" formatCode="0.00">
                  <c:v>106.12</c:v>
                </c:pt>
                <c:pt idx="56" formatCode="0.00">
                  <c:v>105.6</c:v>
                </c:pt>
                <c:pt idx="57" formatCode="0.00">
                  <c:v>105.04</c:v>
                </c:pt>
                <c:pt idx="58" formatCode="0.00">
                  <c:v>106.23</c:v>
                </c:pt>
                <c:pt idx="59" formatCode="0.00">
                  <c:v>104.56</c:v>
                </c:pt>
                <c:pt idx="60" formatCode="0.00">
                  <c:v>107.95</c:v>
                </c:pt>
                <c:pt idx="61" formatCode="0.00">
                  <c:v>105.74</c:v>
                </c:pt>
                <c:pt idx="62" formatCode="0.00">
                  <c:v>104.3</c:v>
                </c:pt>
                <c:pt idx="63" formatCode="0.00">
                  <c:v>109.78</c:v>
                </c:pt>
                <c:pt idx="64" formatCode="0.00">
                  <c:v>108.15</c:v>
                </c:pt>
                <c:pt idx="65" formatCode="0.00">
                  <c:v>107.07</c:v>
                </c:pt>
                <c:pt idx="66" formatCode="0.00">
                  <c:v>105.06</c:v>
                </c:pt>
                <c:pt idx="67" formatCode="0.00">
                  <c:v>104.97</c:v>
                </c:pt>
                <c:pt idx="68" formatCode="0.00">
                  <c:v>104.1</c:v>
                </c:pt>
                <c:pt idx="69" formatCode="0.00">
                  <c:v>104.81</c:v>
                </c:pt>
                <c:pt idx="70" formatCode="0.00">
                  <c:v>106.42</c:v>
                </c:pt>
                <c:pt idx="71" formatCode="0.00">
                  <c:v>105.47</c:v>
                </c:pt>
                <c:pt idx="72" formatCode="0.00">
                  <c:v>104.61</c:v>
                </c:pt>
                <c:pt idx="73" formatCode="0.00">
                  <c:v>105.01</c:v>
                </c:pt>
                <c:pt idx="74" formatCode="0.00">
                  <c:v>105.47</c:v>
                </c:pt>
                <c:pt idx="75" formatCode="0.00">
                  <c:v>112.71</c:v>
                </c:pt>
                <c:pt idx="76" formatCode="0.00">
                  <c:v>110</c:v>
                </c:pt>
                <c:pt idx="77" formatCode="0.00">
                  <c:v>105.77</c:v>
                </c:pt>
                <c:pt idx="78" formatCode="0.00">
                  <c:v>112.35</c:v>
                </c:pt>
                <c:pt idx="79" formatCode="0.00">
                  <c:v>106.28</c:v>
                </c:pt>
                <c:pt idx="80" formatCode="0.00">
                  <c:v>106.73</c:v>
                </c:pt>
                <c:pt idx="81" formatCode="0.00">
                  <c:v>104.6</c:v>
                </c:pt>
                <c:pt idx="82" formatCode="0.00">
                  <c:v>104.8</c:v>
                </c:pt>
                <c:pt idx="83" formatCode="0.00">
                  <c:v>104.53</c:v>
                </c:pt>
                <c:pt idx="84" formatCode="0.00">
                  <c:v>104.53</c:v>
                </c:pt>
                <c:pt idx="85" formatCode="0.00">
                  <c:v>105.05</c:v>
                </c:pt>
                <c:pt idx="86" formatCode="0.00">
                  <c:v>109.48</c:v>
                </c:pt>
                <c:pt idx="87" formatCode="0.00">
                  <c:v>108.51</c:v>
                </c:pt>
                <c:pt idx="88" formatCode="0.00">
                  <c:v>104.34</c:v>
                </c:pt>
                <c:pt idx="89" formatCode="0.00">
                  <c:v>104.64</c:v>
                </c:pt>
                <c:pt idx="90" formatCode="0.00">
                  <c:v>106.14</c:v>
                </c:pt>
                <c:pt idx="91" formatCode="0.00">
                  <c:v>104.37</c:v>
                </c:pt>
                <c:pt idx="92" formatCode="0.00">
                  <c:v>107.64</c:v>
                </c:pt>
                <c:pt idx="93" formatCode="0.00">
                  <c:v>105.08</c:v>
                </c:pt>
                <c:pt idx="94" formatCode="0.00">
                  <c:v>104.96</c:v>
                </c:pt>
                <c:pt idx="95" formatCode="0.00">
                  <c:v>106.48</c:v>
                </c:pt>
                <c:pt idx="96" formatCode="0.00">
                  <c:v>107.06</c:v>
                </c:pt>
                <c:pt idx="97" formatCode="0.00">
                  <c:v>109.19</c:v>
                </c:pt>
                <c:pt idx="98" formatCode="0.00">
                  <c:v>105.5</c:v>
                </c:pt>
                <c:pt idx="99" formatCode="0.00">
                  <c:v>104.31</c:v>
                </c:pt>
                <c:pt idx="100" formatCode="0.00">
                  <c:v>104.32</c:v>
                </c:pt>
                <c:pt idx="101" formatCode="0.00">
                  <c:v>104.2</c:v>
                </c:pt>
                <c:pt idx="102" formatCode="0.00">
                  <c:v>107.83</c:v>
                </c:pt>
                <c:pt idx="103" formatCode="0.00">
                  <c:v>104.56</c:v>
                </c:pt>
                <c:pt idx="104" formatCode="0.00">
                  <c:v>104.08</c:v>
                </c:pt>
                <c:pt idx="105" formatCode="0.00">
                  <c:v>104.97</c:v>
                </c:pt>
                <c:pt idx="106" formatCode="0.00">
                  <c:v>103.79</c:v>
                </c:pt>
                <c:pt idx="107" formatCode="0.00">
                  <c:v>108.45</c:v>
                </c:pt>
                <c:pt idx="108" formatCode="0.00">
                  <c:v>103.83</c:v>
                </c:pt>
                <c:pt idx="109" formatCode="0.00">
                  <c:v>110.05</c:v>
                </c:pt>
                <c:pt idx="110" formatCode="0.00">
                  <c:v>105.92</c:v>
                </c:pt>
                <c:pt idx="111" formatCode="0.00">
                  <c:v>104.79</c:v>
                </c:pt>
                <c:pt idx="112" formatCode="0.00">
                  <c:v>104.6</c:v>
                </c:pt>
                <c:pt idx="113" formatCode="0.00">
                  <c:v>105.9</c:v>
                </c:pt>
                <c:pt idx="114" formatCode="0.00">
                  <c:v>105.23</c:v>
                </c:pt>
                <c:pt idx="115" formatCode="0.00">
                  <c:v>104.49</c:v>
                </c:pt>
                <c:pt idx="116" formatCode="0.00">
                  <c:v>104.24</c:v>
                </c:pt>
                <c:pt idx="117" formatCode="0.00">
                  <c:v>110.67</c:v>
                </c:pt>
                <c:pt idx="118" formatCode="0.00">
                  <c:v>107.35</c:v>
                </c:pt>
                <c:pt idx="119" formatCode="0.00">
                  <c:v>107.83</c:v>
                </c:pt>
                <c:pt idx="120" formatCode="0.00">
                  <c:v>107.14</c:v>
                </c:pt>
                <c:pt idx="121" formatCode="0.00">
                  <c:v>105.78</c:v>
                </c:pt>
                <c:pt idx="122" formatCode="0.00">
                  <c:v>105.76</c:v>
                </c:pt>
                <c:pt idx="123" formatCode="0.00">
                  <c:v>104.75</c:v>
                </c:pt>
                <c:pt idx="124" formatCode="0.00">
                  <c:v>104.03</c:v>
                </c:pt>
                <c:pt idx="125" formatCode="0.00">
                  <c:v>105.46</c:v>
                </c:pt>
                <c:pt idx="126" formatCode="0.00">
                  <c:v>104.25</c:v>
                </c:pt>
                <c:pt idx="127" formatCode="0.00">
                  <c:v>107.45</c:v>
                </c:pt>
                <c:pt idx="128" formatCode="0.00">
                  <c:v>105.36</c:v>
                </c:pt>
                <c:pt idx="129" formatCode="0.00">
                  <c:v>103.72</c:v>
                </c:pt>
                <c:pt idx="130" formatCode="0.00">
                  <c:v>111.56</c:v>
                </c:pt>
                <c:pt idx="131" formatCode="0.00">
                  <c:v>107.32</c:v>
                </c:pt>
                <c:pt idx="132" formatCode="0.00">
                  <c:v>104.97</c:v>
                </c:pt>
                <c:pt idx="133" formatCode="0.00">
                  <c:v>106.25</c:v>
                </c:pt>
                <c:pt idx="134" formatCode="0.00">
                  <c:v>105.34</c:v>
                </c:pt>
                <c:pt idx="135" formatCode="0.00">
                  <c:v>105.91</c:v>
                </c:pt>
                <c:pt idx="136" formatCode="0.00">
                  <c:v>112.3</c:v>
                </c:pt>
                <c:pt idx="137" formatCode="0.00">
                  <c:v>109.22</c:v>
                </c:pt>
                <c:pt idx="138" formatCode="0.00">
                  <c:v>106.36</c:v>
                </c:pt>
                <c:pt idx="139" formatCode="0.00">
                  <c:v>105.76</c:v>
                </c:pt>
                <c:pt idx="140" formatCode="0.00">
                  <c:v>104.91</c:v>
                </c:pt>
                <c:pt idx="141" formatCode="0.00">
                  <c:v>105.68</c:v>
                </c:pt>
                <c:pt idx="142" formatCode="0.00">
                  <c:v>112.06</c:v>
                </c:pt>
                <c:pt idx="143" formatCode="0.00">
                  <c:v>108.3133</c:v>
                </c:pt>
                <c:pt idx="144" formatCode="0.00">
                  <c:v>110.32</c:v>
                </c:pt>
                <c:pt idx="145" formatCode="0.00">
                  <c:v>107.16</c:v>
                </c:pt>
                <c:pt idx="146" formatCode="0.00">
                  <c:v>105.54</c:v>
                </c:pt>
                <c:pt idx="147" formatCode="0.00">
                  <c:v>104.59</c:v>
                </c:pt>
                <c:pt idx="148" formatCode="0.00">
                  <c:v>108.37</c:v>
                </c:pt>
                <c:pt idx="149" formatCode="0.00">
                  <c:v>106.35</c:v>
                </c:pt>
                <c:pt idx="150" formatCode="0.00">
                  <c:v>104.56</c:v>
                </c:pt>
                <c:pt idx="151" formatCode="0.00">
                  <c:v>104.2</c:v>
                </c:pt>
                <c:pt idx="152" formatCode="0.00">
                  <c:v>103.73</c:v>
                </c:pt>
                <c:pt idx="153" formatCode="0.00">
                  <c:v>105.18</c:v>
                </c:pt>
                <c:pt idx="154" formatCode="0.00">
                  <c:v>105.87</c:v>
                </c:pt>
                <c:pt idx="155" formatCode="0.00">
                  <c:v>105.76</c:v>
                </c:pt>
                <c:pt idx="156" formatCode="0.00">
                  <c:v>106.51</c:v>
                </c:pt>
                <c:pt idx="157" formatCode="0.00">
                  <c:v>107.06</c:v>
                </c:pt>
                <c:pt idx="158" formatCode="0.00">
                  <c:v>105.44</c:v>
                </c:pt>
                <c:pt idx="159" formatCode="0.00">
                  <c:v>106.17</c:v>
                </c:pt>
                <c:pt idx="160" formatCode="0.00">
                  <c:v>105.93</c:v>
                </c:pt>
                <c:pt idx="161" formatCode="0.00">
                  <c:v>105.33</c:v>
                </c:pt>
                <c:pt idx="162" formatCode="0.00">
                  <c:v>104.77</c:v>
                </c:pt>
                <c:pt idx="163" formatCode="0.00">
                  <c:v>105.41</c:v>
                </c:pt>
                <c:pt idx="164" formatCode="0.00">
                  <c:v>106.11</c:v>
                </c:pt>
                <c:pt idx="165" formatCode="0.00">
                  <c:v>104.32</c:v>
                </c:pt>
                <c:pt idx="166" formatCode="0.00">
                  <c:v>112.39</c:v>
                </c:pt>
                <c:pt idx="167" formatCode="0.00">
                  <c:v>110.27</c:v>
                </c:pt>
                <c:pt idx="168" formatCode="0.00">
                  <c:v>104.75</c:v>
                </c:pt>
                <c:pt idx="169" formatCode="0.00">
                  <c:v>104.99</c:v>
                </c:pt>
                <c:pt idx="170" formatCode="0.00">
                  <c:v>105.21</c:v>
                </c:pt>
                <c:pt idx="171" formatCode="0.00">
                  <c:v>104.43</c:v>
                </c:pt>
                <c:pt idx="172" formatCode="0.00">
                  <c:v>108.56</c:v>
                </c:pt>
                <c:pt idx="173" formatCode="0.00">
                  <c:v>106.79</c:v>
                </c:pt>
                <c:pt idx="174" formatCode="0.00">
                  <c:v>105.32</c:v>
                </c:pt>
                <c:pt idx="175" formatCode="0.00">
                  <c:v>106.62</c:v>
                </c:pt>
                <c:pt idx="176" formatCode="0.00">
                  <c:v>105.23</c:v>
                </c:pt>
                <c:pt idx="177" formatCode="0.00">
                  <c:v>103.74</c:v>
                </c:pt>
                <c:pt idx="178" formatCode="0.00">
                  <c:v>106.12</c:v>
                </c:pt>
                <c:pt idx="179" formatCode="0.00">
                  <c:v>105.09</c:v>
                </c:pt>
                <c:pt idx="180" formatCode="0.00">
                  <c:v>105.28</c:v>
                </c:pt>
                <c:pt idx="181" formatCode="0.00">
                  <c:v>112.13</c:v>
                </c:pt>
                <c:pt idx="182" formatCode="0.00">
                  <c:v>105.79</c:v>
                </c:pt>
                <c:pt idx="183" formatCode="0.00">
                  <c:v>105.77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D-49B8-B455-3158E4FA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12064"/>
        <c:axId val="1292215808"/>
      </c:scatterChart>
      <c:valAx>
        <c:axId val="1292212064"/>
        <c:scaling>
          <c:orientation val="minMax"/>
          <c:max val="3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15808"/>
        <c:crosses val="autoZero"/>
        <c:crossBetween val="midCat"/>
      </c:valAx>
      <c:valAx>
        <c:axId val="12922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175260</xdr:rowOff>
    </xdr:from>
    <xdr:to>
      <xdr:col>14</xdr:col>
      <xdr:colOff>68580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485D6-0D23-45D1-BBF5-E074EF89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2186940</xdr:colOff>
      <xdr:row>38</xdr:row>
      <xdr:rowOff>83820</xdr:rowOff>
    </xdr:from>
    <xdr:to>
      <xdr:col>13</xdr:col>
      <xdr:colOff>373380</xdr:colOff>
      <xdr:row>53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14068-8836-474B-B2D4-A8B1900B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2606040</xdr:colOff>
      <xdr:row>5</xdr:row>
      <xdr:rowOff>144780</xdr:rowOff>
    </xdr:from>
    <xdr:to>
      <xdr:col>15</xdr:col>
      <xdr:colOff>335280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EB60-5512-4FCA-B914-FF3C1C81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27</xdr:row>
      <xdr:rowOff>53340</xdr:rowOff>
    </xdr:from>
    <xdr:to>
      <xdr:col>15</xdr:col>
      <xdr:colOff>262890</xdr:colOff>
      <xdr:row>42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1EEE1-867A-4E2A-9339-E465BD5F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316230</xdr:colOff>
      <xdr:row>29</xdr:row>
      <xdr:rowOff>22860</xdr:rowOff>
    </xdr:from>
    <xdr:to>
      <xdr:col>14</xdr:col>
      <xdr:colOff>255270</xdr:colOff>
      <xdr:row>44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EE691-D03E-4C96-93D6-E12886E2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1207770</xdr:colOff>
      <xdr:row>4</xdr:row>
      <xdr:rowOff>68580</xdr:rowOff>
    </xdr:from>
    <xdr:to>
      <xdr:col>15</xdr:col>
      <xdr:colOff>483870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FF808-FF54-4500-9B9B-4E219D41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F2EB-6C3C-4382-B0D0-A8274A172428}">
  <dimension ref="B1:AE83"/>
  <sheetViews>
    <sheetView topLeftCell="Y1" workbookViewId="0">
      <selection activeCell="Y30" sqref="Y30"/>
    </sheetView>
  </sheetViews>
  <sheetFormatPr defaultRowHeight="14.4" x14ac:dyDescent="0.3"/>
  <cols>
    <col min="3" max="4" width="9.88671875" bestFit="1" customWidth="1"/>
    <col min="6" max="6" width="9.21875" bestFit="1" customWidth="1"/>
    <col min="8" max="8" width="40.5546875" bestFit="1" customWidth="1"/>
    <col min="9" max="9" width="17" bestFit="1" customWidth="1"/>
    <col min="12" max="12" width="9.6640625" bestFit="1" customWidth="1"/>
    <col min="16" max="17" width="15.8867187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  <col min="24" max="24" width="21" bestFit="1" customWidth="1"/>
    <col min="25" max="25" width="29.109375" customWidth="1"/>
    <col min="26" max="26" width="32.5546875" bestFit="1" customWidth="1"/>
    <col min="27" max="27" width="21" bestFit="1" customWidth="1"/>
    <col min="28" max="28" width="17.44140625" bestFit="1" customWidth="1"/>
    <col min="30" max="30" width="9.88671875" bestFit="1" customWidth="1"/>
    <col min="31" max="31" width="51.33203125" bestFit="1" customWidth="1"/>
  </cols>
  <sheetData>
    <row r="1" spans="2:31" x14ac:dyDescent="0.3">
      <c r="B1" s="1">
        <v>34500</v>
      </c>
      <c r="C1" t="s">
        <v>1</v>
      </c>
      <c r="D1" t="s">
        <v>3</v>
      </c>
      <c r="E1" t="s">
        <v>0</v>
      </c>
    </row>
    <row r="2" spans="2:31" x14ac:dyDescent="0.3">
      <c r="B2">
        <v>1</v>
      </c>
      <c r="C2" s="1">
        <v>40684</v>
      </c>
      <c r="D2">
        <f t="shared" ref="D2:D33" si="0">(C2-$B$1)/365.25</f>
        <v>16.930869267624914</v>
      </c>
      <c r="E2" s="2">
        <v>110.2</v>
      </c>
      <c r="F2" s="3">
        <f>AVERAGE(E2:E7)</f>
        <v>110.33499999999999</v>
      </c>
      <c r="P2" t="s">
        <v>4</v>
      </c>
      <c r="Q2" t="s">
        <v>5</v>
      </c>
      <c r="R2" t="s">
        <v>21</v>
      </c>
      <c r="S2" t="s">
        <v>22</v>
      </c>
      <c r="T2" t="s">
        <v>6</v>
      </c>
      <c r="U2" t="s">
        <v>23</v>
      </c>
      <c r="V2" t="s">
        <v>24</v>
      </c>
      <c r="W2" t="s">
        <v>6</v>
      </c>
      <c r="Y2" t="s">
        <v>21</v>
      </c>
      <c r="Z2" t="s">
        <v>22</v>
      </c>
      <c r="AA2" t="s">
        <v>23</v>
      </c>
      <c r="AB2" t="s">
        <v>24</v>
      </c>
      <c r="AD2" t="s">
        <v>28</v>
      </c>
      <c r="AE2" t="s">
        <v>29</v>
      </c>
    </row>
    <row r="3" spans="2:31" x14ac:dyDescent="0.3">
      <c r="B3">
        <v>2</v>
      </c>
      <c r="C3" s="1">
        <v>40706</v>
      </c>
      <c r="D3">
        <f t="shared" si="0"/>
        <v>16.991101984941821</v>
      </c>
      <c r="E3" s="2">
        <v>109.99</v>
      </c>
      <c r="P3">
        <v>2011</v>
      </c>
      <c r="Q3">
        <v>6</v>
      </c>
      <c r="R3">
        <v>172.38059999999999</v>
      </c>
      <c r="S3">
        <v>725589.70059999998</v>
      </c>
      <c r="T3" s="2">
        <f>S3/R3</f>
        <v>4209.2306245598402</v>
      </c>
      <c r="U3" s="5">
        <v>154.31</v>
      </c>
      <c r="V3" s="5">
        <v>610886.39</v>
      </c>
      <c r="W3" s="2">
        <f>V3/U3</f>
        <v>3958.8256755881021</v>
      </c>
      <c r="Y3">
        <f>LOG(R3)</f>
        <v>2.2364883880140392</v>
      </c>
      <c r="Z3">
        <f>LOG(S3)</f>
        <v>5.8606911094925946</v>
      </c>
      <c r="AA3" s="5">
        <f>LOG(U3)</f>
        <v>2.188394071261428</v>
      </c>
      <c r="AB3" s="5">
        <f>LOG(V3)</f>
        <v>5.7859604495488677</v>
      </c>
    </row>
    <row r="4" spans="2:31" x14ac:dyDescent="0.3">
      <c r="B4">
        <v>3</v>
      </c>
      <c r="C4" s="1">
        <v>40730</v>
      </c>
      <c r="D4">
        <f t="shared" si="0"/>
        <v>17.056810403832991</v>
      </c>
      <c r="E4" s="2">
        <v>111.55</v>
      </c>
      <c r="P4">
        <v>2012</v>
      </c>
      <c r="Q4">
        <v>13</v>
      </c>
      <c r="R4">
        <v>0.14949999999999999</v>
      </c>
      <c r="S4">
        <v>22.254000000000001</v>
      </c>
      <c r="T4" s="2">
        <f t="shared" ref="T4:T11" si="1">S4/R4</f>
        <v>148.85618729096993</v>
      </c>
      <c r="U4" s="5">
        <v>14.265499999999999</v>
      </c>
      <c r="V4" s="5">
        <v>101.282</v>
      </c>
      <c r="W4" s="2">
        <f t="shared" ref="W4:W11" si="2">V4/U4</f>
        <v>7.0997861974694194</v>
      </c>
      <c r="Y4">
        <f t="shared" ref="Y4:Y11" si="3">LOG(R4)</f>
        <v>-0.82535880733955158</v>
      </c>
      <c r="Z4">
        <f t="shared" ref="Z4:Z11" si="4">LOG(S4)</f>
        <v>1.3474080837122537</v>
      </c>
      <c r="AA4" s="5">
        <f t="shared" ref="AA4:AB11" si="5">LOG(U4)</f>
        <v>1.1542869981056396</v>
      </c>
      <c r="AB4" s="5">
        <f t="shared" si="5"/>
        <v>2.0055322687039649</v>
      </c>
    </row>
    <row r="5" spans="2:31" x14ac:dyDescent="0.3">
      <c r="B5">
        <v>4</v>
      </c>
      <c r="C5" s="1">
        <v>40731</v>
      </c>
      <c r="D5">
        <f t="shared" si="0"/>
        <v>17.059548254620122</v>
      </c>
      <c r="E5" s="2">
        <v>111</v>
      </c>
      <c r="P5">
        <v>2013</v>
      </c>
      <c r="Q5">
        <v>18</v>
      </c>
      <c r="R5">
        <v>0.1386</v>
      </c>
      <c r="S5">
        <v>1.3371999999999999</v>
      </c>
      <c r="T5" s="2">
        <f t="shared" si="1"/>
        <v>9.6479076479076475</v>
      </c>
      <c r="U5" s="5">
        <v>0.66400000000000003</v>
      </c>
      <c r="V5" s="5">
        <v>9.68</v>
      </c>
      <c r="W5" s="2">
        <f t="shared" si="2"/>
        <v>14.578313253012047</v>
      </c>
      <c r="Y5">
        <f t="shared" si="3"/>
        <v>-0.85823676972421203</v>
      </c>
      <c r="Z5">
        <f t="shared" si="4"/>
        <v>0.12619636792053091</v>
      </c>
      <c r="AA5" s="5">
        <f t="shared" si="5"/>
        <v>-0.1778319206319825</v>
      </c>
      <c r="AB5" s="5">
        <f t="shared" si="5"/>
        <v>0.98587535730839371</v>
      </c>
    </row>
    <row r="6" spans="2:31" x14ac:dyDescent="0.3">
      <c r="B6">
        <v>5</v>
      </c>
      <c r="C6" s="1">
        <v>40747</v>
      </c>
      <c r="D6">
        <f t="shared" si="0"/>
        <v>17.103353867214238</v>
      </c>
      <c r="E6" s="2">
        <v>110.86</v>
      </c>
      <c r="P6">
        <v>2014</v>
      </c>
      <c r="Q6">
        <v>28</v>
      </c>
      <c r="R6">
        <v>0.37359999999999999</v>
      </c>
      <c r="S6">
        <v>0.19339999999999999</v>
      </c>
      <c r="T6" s="2">
        <f t="shared" si="1"/>
        <v>0.51766595289079231</v>
      </c>
      <c r="U6" s="5">
        <v>1.5154000000000001</v>
      </c>
      <c r="V6" s="5">
        <v>0.4304</v>
      </c>
      <c r="W6" s="2">
        <f t="shared" si="2"/>
        <v>0.28401742114293255</v>
      </c>
      <c r="Y6">
        <f t="shared" si="3"/>
        <v>-0.42759313244194425</v>
      </c>
      <c r="Z6">
        <f t="shared" si="4"/>
        <v>-0.7135435302530172</v>
      </c>
      <c r="AA6" s="5">
        <f t="shared" si="5"/>
        <v>0.18052728291340975</v>
      </c>
      <c r="AB6" s="5">
        <f t="shared" si="5"/>
        <v>-0.36612773734166726</v>
      </c>
    </row>
    <row r="7" spans="2:31" x14ac:dyDescent="0.3">
      <c r="C7" s="1">
        <v>40762</v>
      </c>
      <c r="D7">
        <f t="shared" si="0"/>
        <v>17.144421629021217</v>
      </c>
      <c r="E7" s="2">
        <v>108.41</v>
      </c>
      <c r="P7">
        <v>2015</v>
      </c>
      <c r="Q7">
        <v>36</v>
      </c>
      <c r="R7">
        <v>0.374</v>
      </c>
      <c r="S7">
        <v>0.08</v>
      </c>
      <c r="T7" s="2">
        <f t="shared" si="1"/>
        <v>0.21390374331550802</v>
      </c>
      <c r="U7" s="5">
        <v>1.4632000000000001</v>
      </c>
      <c r="V7" s="5">
        <v>4.3875999999999999</v>
      </c>
      <c r="W7" s="2">
        <f t="shared" si="2"/>
        <v>2.998633132859486</v>
      </c>
      <c r="Y7">
        <f t="shared" si="3"/>
        <v>-0.42712839779951983</v>
      </c>
      <c r="Z7">
        <f t="shared" si="4"/>
        <v>-1.0969100130080565</v>
      </c>
      <c r="AA7" s="5">
        <f t="shared" si="5"/>
        <v>0.16530369246836046</v>
      </c>
      <c r="AB7" s="5">
        <f t="shared" si="5"/>
        <v>0.64222702781080931</v>
      </c>
    </row>
    <row r="8" spans="2:31" x14ac:dyDescent="0.3">
      <c r="C8" s="1">
        <v>41053</v>
      </c>
      <c r="D8">
        <f t="shared" si="0"/>
        <v>17.94113620807666</v>
      </c>
      <c r="E8" s="2">
        <v>110.02</v>
      </c>
      <c r="F8" s="3">
        <f>AVERAGE(E8:E14)</f>
        <v>109.58999999999999</v>
      </c>
      <c r="P8">
        <v>2016</v>
      </c>
      <c r="Q8">
        <v>50</v>
      </c>
      <c r="R8">
        <v>0.59209999999999996</v>
      </c>
      <c r="S8">
        <v>7.9500000000000001E-2</v>
      </c>
      <c r="T8" s="2">
        <f t="shared" si="1"/>
        <v>0.13426786015875697</v>
      </c>
      <c r="U8" s="5">
        <v>1.2044999999999999</v>
      </c>
      <c r="V8" s="5">
        <v>1.1969000000000001</v>
      </c>
      <c r="W8" s="2">
        <f t="shared" si="2"/>
        <v>0.99369032793690337</v>
      </c>
      <c r="Y8">
        <f t="shared" si="3"/>
        <v>-0.22760493891799982</v>
      </c>
      <c r="Z8">
        <f t="shared" si="4"/>
        <v>-1.0996328713435297</v>
      </c>
      <c r="AA8" s="5">
        <f t="shared" si="5"/>
        <v>8.0806804334362145E-2</v>
      </c>
      <c r="AB8" s="5">
        <f t="shared" si="5"/>
        <v>7.8057866979186846E-2</v>
      </c>
    </row>
    <row r="9" spans="2:31" x14ac:dyDescent="0.3">
      <c r="C9" s="1">
        <v>41055</v>
      </c>
      <c r="D9">
        <f t="shared" si="0"/>
        <v>17.946611909650922</v>
      </c>
      <c r="E9" s="2">
        <v>107.14</v>
      </c>
      <c r="P9">
        <v>2017</v>
      </c>
      <c r="Q9">
        <v>61</v>
      </c>
      <c r="R9">
        <v>0.5272</v>
      </c>
      <c r="S9">
        <v>0.45639999999999997</v>
      </c>
      <c r="T9" s="2">
        <f t="shared" si="1"/>
        <v>0.86570561456752648</v>
      </c>
      <c r="U9" s="5">
        <v>0.88360000000000005</v>
      </c>
      <c r="V9" s="5">
        <v>0.27760000000000001</v>
      </c>
      <c r="W9" s="2">
        <f t="shared" si="2"/>
        <v>0.31416930737890447</v>
      </c>
      <c r="Y9">
        <f t="shared" si="3"/>
        <v>-0.27802459841404653</v>
      </c>
      <c r="Z9">
        <f t="shared" si="4"/>
        <v>-0.34065436425382301</v>
      </c>
      <c r="AA9" s="5">
        <f t="shared" si="5"/>
        <v>-5.3744292800602653E-2</v>
      </c>
      <c r="AB9" s="5">
        <f t="shared" si="5"/>
        <v>-0.55658053821718267</v>
      </c>
    </row>
    <row r="10" spans="2:31" x14ac:dyDescent="0.3">
      <c r="C10" s="1">
        <v>41069</v>
      </c>
      <c r="D10">
        <f t="shared" si="0"/>
        <v>17.984941820670773</v>
      </c>
      <c r="E10" s="2">
        <v>112.69</v>
      </c>
      <c r="P10">
        <v>2018</v>
      </c>
      <c r="Q10">
        <v>69</v>
      </c>
      <c r="R10">
        <v>2.7199999999999998E-2</v>
      </c>
      <c r="S10">
        <v>0.62529999999999997</v>
      </c>
      <c r="T10" s="2">
        <f t="shared" si="1"/>
        <v>22.988970588235293</v>
      </c>
      <c r="U10" s="5">
        <v>0.48499999999999999</v>
      </c>
      <c r="V10" s="5">
        <v>1.2785</v>
      </c>
      <c r="W10" s="2">
        <f t="shared" si="2"/>
        <v>2.6360824742268041</v>
      </c>
      <c r="Y10">
        <f t="shared" si="3"/>
        <v>-1.5654310959658013</v>
      </c>
      <c r="Z10">
        <f t="shared" si="4"/>
        <v>-0.20391157131933149</v>
      </c>
      <c r="AA10" s="5">
        <f t="shared" si="5"/>
        <v>-0.31425826139773638</v>
      </c>
      <c r="AB10" s="5">
        <f t="shared" si="5"/>
        <v>0.10670073236235425</v>
      </c>
    </row>
    <row r="11" spans="2:31" x14ac:dyDescent="0.3">
      <c r="C11" s="1">
        <v>41069</v>
      </c>
      <c r="D11">
        <f t="shared" si="0"/>
        <v>17.984941820670773</v>
      </c>
      <c r="E11" s="2">
        <v>113.75</v>
      </c>
      <c r="P11">
        <v>2019</v>
      </c>
      <c r="Q11">
        <v>79</v>
      </c>
      <c r="R11">
        <v>0.4884</v>
      </c>
      <c r="S11">
        <v>0.71240000000000003</v>
      </c>
      <c r="T11" s="2">
        <f t="shared" si="1"/>
        <v>1.4586404586404587</v>
      </c>
      <c r="U11" s="5">
        <v>0.2445</v>
      </c>
      <c r="V11" s="5">
        <v>0.3957</v>
      </c>
      <c r="W11" s="2">
        <f t="shared" si="2"/>
        <v>1.6184049079754601</v>
      </c>
      <c r="Y11">
        <f t="shared" si="3"/>
        <v>-0.31122434472715516</v>
      </c>
      <c r="Z11">
        <f t="shared" si="4"/>
        <v>-0.14727608920879406</v>
      </c>
      <c r="AA11" s="5">
        <f t="shared" si="5"/>
        <v>-0.61172113654036098</v>
      </c>
      <c r="AB11" s="5">
        <f t="shared" si="5"/>
        <v>-0.40263394973397226</v>
      </c>
    </row>
    <row r="12" spans="2:31" x14ac:dyDescent="0.3">
      <c r="C12" s="1">
        <v>41103</v>
      </c>
      <c r="D12">
        <f t="shared" si="0"/>
        <v>18.078028747433265</v>
      </c>
      <c r="E12" s="2">
        <v>109.77</v>
      </c>
      <c r="X12" t="s">
        <v>25</v>
      </c>
      <c r="Y12">
        <f>AVERAGE(Y3:Y11)</f>
        <v>-0.2982348552573546</v>
      </c>
      <c r="Z12">
        <f t="shared" ref="Z12:AB12" si="6">AVERAGE(Z3:Z11)</f>
        <v>0.41470745797098085</v>
      </c>
      <c r="AA12">
        <f>AVERAGE(AA3:AA11)</f>
        <v>0.29019591530139083</v>
      </c>
      <c r="AB12">
        <f t="shared" si="6"/>
        <v>0.91989016415786162</v>
      </c>
    </row>
    <row r="13" spans="2:31" x14ac:dyDescent="0.3">
      <c r="C13" s="1">
        <v>41104</v>
      </c>
      <c r="D13">
        <f t="shared" si="0"/>
        <v>18.080766598220396</v>
      </c>
      <c r="E13" s="2">
        <v>107.69</v>
      </c>
      <c r="X13" t="s">
        <v>26</v>
      </c>
      <c r="Y13">
        <f>EXP(Y12)</f>
        <v>0.74212702684554521</v>
      </c>
      <c r="Z13">
        <f t="shared" ref="Z13:AB13" si="7">EXP(Z12)</f>
        <v>1.5139277883971196</v>
      </c>
      <c r="AA13">
        <f t="shared" si="7"/>
        <v>1.3366893402691686</v>
      </c>
      <c r="AB13">
        <f t="shared" si="7"/>
        <v>2.5090147950485244</v>
      </c>
    </row>
    <row r="14" spans="2:31" x14ac:dyDescent="0.3">
      <c r="C14" s="1">
        <v>41105</v>
      </c>
      <c r="D14">
        <f t="shared" si="0"/>
        <v>18.083504449007528</v>
      </c>
      <c r="E14" s="2">
        <v>106.07</v>
      </c>
      <c r="F14" s="3"/>
    </row>
    <row r="15" spans="2:31" x14ac:dyDescent="0.3">
      <c r="C15" s="1">
        <v>41404</v>
      </c>
      <c r="D15">
        <f t="shared" si="0"/>
        <v>18.902121834360027</v>
      </c>
      <c r="E15" s="2">
        <v>110.17</v>
      </c>
      <c r="F15" s="3">
        <f>AVERAGE(E15:E19)</f>
        <v>109.18199999999999</v>
      </c>
      <c r="Q15">
        <v>24</v>
      </c>
      <c r="R15">
        <v>24</v>
      </c>
      <c r="X15" t="s">
        <v>27</v>
      </c>
      <c r="Y15">
        <f>AVERAGE(Y4:Y11)</f>
        <v>-0.61507526066627882</v>
      </c>
      <c r="Z15">
        <f t="shared" ref="Z15:AB15" si="8">AVERAGE(Z4:Z11)</f>
        <v>-0.2660404984692209</v>
      </c>
      <c r="AA15">
        <f t="shared" si="8"/>
        <v>5.2921145806386183E-2</v>
      </c>
      <c r="AB15">
        <f t="shared" si="8"/>
        <v>0.31163137848398587</v>
      </c>
    </row>
    <row r="16" spans="2:31" x14ac:dyDescent="0.3">
      <c r="C16" s="1">
        <v>41417</v>
      </c>
      <c r="D16">
        <f t="shared" si="0"/>
        <v>18.937713894592743</v>
      </c>
      <c r="E16" s="2">
        <v>111.3</v>
      </c>
      <c r="Q16">
        <f>0.0686*Q15^2-3.5655*Q15+151.49</f>
        <v>105.4316</v>
      </c>
      <c r="R16">
        <f>0.0065*R15^3-0.3458*R15^2+5.1481*R15+90.978</f>
        <v>105.2076</v>
      </c>
      <c r="X16" t="s">
        <v>26</v>
      </c>
      <c r="Y16">
        <f>EXP(Y15)</f>
        <v>0.54060020784642004</v>
      </c>
      <c r="Z16">
        <f t="shared" ref="Z16:AB16" si="9">EXP(Z15)</f>
        <v>0.76640808851812425</v>
      </c>
      <c r="AA16">
        <f t="shared" si="9"/>
        <v>1.0543465021980947</v>
      </c>
      <c r="AB16">
        <f t="shared" si="9"/>
        <v>1.3656511918218162</v>
      </c>
    </row>
    <row r="17" spans="3:18" x14ac:dyDescent="0.3">
      <c r="C17" s="1">
        <v>41476</v>
      </c>
      <c r="D17">
        <f t="shared" si="0"/>
        <v>19.09924709103354</v>
      </c>
      <c r="E17" s="2">
        <v>107.72</v>
      </c>
      <c r="Q17">
        <f>Q16-105.92</f>
        <v>-0.48839999999999861</v>
      </c>
      <c r="R17">
        <f>R16-105.92</f>
        <v>-0.71240000000000236</v>
      </c>
    </row>
    <row r="18" spans="3:18" x14ac:dyDescent="0.3">
      <c r="C18" s="1">
        <v>41499</v>
      </c>
      <c r="D18">
        <f t="shared" si="0"/>
        <v>19.162217659137578</v>
      </c>
      <c r="E18" s="2">
        <v>110.34</v>
      </c>
    </row>
    <row r="19" spans="3:18" x14ac:dyDescent="0.3">
      <c r="C19" s="1">
        <v>41502</v>
      </c>
      <c r="D19">
        <f t="shared" si="0"/>
        <v>19.170431211498972</v>
      </c>
      <c r="E19" s="2">
        <v>106.38</v>
      </c>
    </row>
    <row r="20" spans="3:18" x14ac:dyDescent="0.3">
      <c r="C20" s="1">
        <v>41748</v>
      </c>
      <c r="D20">
        <f t="shared" si="0"/>
        <v>19.843942505133469</v>
      </c>
      <c r="E20" s="2">
        <v>105.35</v>
      </c>
      <c r="F20" s="3">
        <f>AVERAGE(E20:E29)</f>
        <v>107.47799999999999</v>
      </c>
    </row>
    <row r="21" spans="3:18" x14ac:dyDescent="0.3">
      <c r="C21" s="1">
        <v>41775</v>
      </c>
      <c r="D21">
        <f t="shared" si="0"/>
        <v>19.917864476386036</v>
      </c>
      <c r="E21" s="2">
        <v>107.13</v>
      </c>
    </row>
    <row r="22" spans="3:18" x14ac:dyDescent="0.3">
      <c r="C22" s="1">
        <v>41777</v>
      </c>
      <c r="D22">
        <f t="shared" si="0"/>
        <v>19.923340177960302</v>
      </c>
      <c r="E22" s="2">
        <v>107.59</v>
      </c>
    </row>
    <row r="23" spans="3:18" x14ac:dyDescent="0.3">
      <c r="C23" s="1">
        <v>41788</v>
      </c>
      <c r="D23">
        <f t="shared" si="0"/>
        <v>19.953456536618756</v>
      </c>
      <c r="E23" s="2">
        <v>108.31</v>
      </c>
    </row>
    <row r="24" spans="3:18" x14ac:dyDescent="0.3">
      <c r="C24" s="1">
        <v>41789</v>
      </c>
      <c r="D24">
        <f t="shared" si="0"/>
        <v>19.956194387405887</v>
      </c>
      <c r="E24" s="2">
        <v>106.8</v>
      </c>
      <c r="H24" t="s">
        <v>7</v>
      </c>
      <c r="I24" t="s">
        <v>2</v>
      </c>
    </row>
    <row r="25" spans="3:18" x14ac:dyDescent="0.3">
      <c r="C25" s="1">
        <v>41801</v>
      </c>
      <c r="D25">
        <f t="shared" si="0"/>
        <v>19.989048596851472</v>
      </c>
      <c r="E25" s="2">
        <v>108.09</v>
      </c>
      <c r="H25">
        <v>17</v>
      </c>
      <c r="I25">
        <v>110.34</v>
      </c>
    </row>
    <row r="26" spans="3:18" x14ac:dyDescent="0.3">
      <c r="C26" s="1">
        <v>41803</v>
      </c>
      <c r="D26">
        <f t="shared" si="0"/>
        <v>19.994524298425734</v>
      </c>
      <c r="E26" s="2">
        <v>106.26</v>
      </c>
      <c r="H26">
        <v>18</v>
      </c>
      <c r="I26">
        <v>109.59</v>
      </c>
    </row>
    <row r="27" spans="3:18" x14ac:dyDescent="0.3">
      <c r="C27" s="1">
        <v>41818</v>
      </c>
      <c r="D27">
        <f t="shared" si="0"/>
        <v>20.035592060232716</v>
      </c>
      <c r="E27" s="2">
        <v>109.27</v>
      </c>
      <c r="F27" s="3"/>
      <c r="H27">
        <v>19</v>
      </c>
      <c r="I27">
        <v>109.18</v>
      </c>
    </row>
    <row r="28" spans="3:18" x14ac:dyDescent="0.3">
      <c r="C28" s="1">
        <v>41819</v>
      </c>
      <c r="D28">
        <f t="shared" si="0"/>
        <v>20.038329911019851</v>
      </c>
      <c r="E28" s="2">
        <v>106.69</v>
      </c>
      <c r="H28">
        <v>20</v>
      </c>
      <c r="I28">
        <v>107.48</v>
      </c>
    </row>
    <row r="29" spans="3:18" x14ac:dyDescent="0.3">
      <c r="C29" s="1">
        <v>41849</v>
      </c>
      <c r="D29">
        <f t="shared" si="0"/>
        <v>20.120465434633811</v>
      </c>
      <c r="E29" s="2">
        <v>109.29</v>
      </c>
      <c r="H29">
        <v>21</v>
      </c>
      <c r="I29">
        <v>107.47</v>
      </c>
    </row>
    <row r="30" spans="3:18" x14ac:dyDescent="0.3">
      <c r="C30" s="1">
        <v>42112</v>
      </c>
      <c r="D30">
        <f t="shared" si="0"/>
        <v>20.840520191649556</v>
      </c>
      <c r="E30" s="2">
        <v>106.28</v>
      </c>
      <c r="F30" s="3">
        <f>AVERAGE(E30:E37)</f>
        <v>107.4725</v>
      </c>
      <c r="H30">
        <v>22</v>
      </c>
      <c r="I30">
        <v>105.65</v>
      </c>
    </row>
    <row r="31" spans="3:18" x14ac:dyDescent="0.3">
      <c r="C31" s="1">
        <v>42139</v>
      </c>
      <c r="D31">
        <f t="shared" si="0"/>
        <v>20.914442162902123</v>
      </c>
      <c r="E31" s="2">
        <v>105.87</v>
      </c>
      <c r="H31">
        <v>23</v>
      </c>
      <c r="I31">
        <v>105.83</v>
      </c>
    </row>
    <row r="32" spans="3:18" x14ac:dyDescent="0.3">
      <c r="C32" s="1">
        <v>42140</v>
      </c>
      <c r="D32">
        <f t="shared" si="0"/>
        <v>20.917180013689254</v>
      </c>
      <c r="E32" s="2">
        <v>106.43</v>
      </c>
      <c r="F32" s="3"/>
      <c r="H32">
        <v>24</v>
      </c>
      <c r="I32">
        <v>105.92</v>
      </c>
    </row>
    <row r="33" spans="3:13" x14ac:dyDescent="0.3">
      <c r="C33" s="1">
        <v>42152</v>
      </c>
      <c r="D33">
        <f t="shared" si="0"/>
        <v>20.950034223134839</v>
      </c>
      <c r="E33" s="2">
        <v>108.19</v>
      </c>
      <c r="H33">
        <v>25</v>
      </c>
      <c r="I33">
        <v>105.07</v>
      </c>
    </row>
    <row r="34" spans="3:13" x14ac:dyDescent="0.3">
      <c r="C34" s="1">
        <v>42153</v>
      </c>
      <c r="D34">
        <f t="shared" ref="D34:D65" si="10">(C34-$B$1)/365.25</f>
        <v>20.95277207392197</v>
      </c>
      <c r="E34" s="2">
        <v>105.97</v>
      </c>
    </row>
    <row r="35" spans="3:13" x14ac:dyDescent="0.3">
      <c r="C35" s="1">
        <v>42165</v>
      </c>
      <c r="D35">
        <f t="shared" si="10"/>
        <v>20.985626283367555</v>
      </c>
      <c r="E35" s="2">
        <v>107.28</v>
      </c>
      <c r="H35" t="s">
        <v>16</v>
      </c>
      <c r="I35" t="s">
        <v>10</v>
      </c>
      <c r="J35" t="s">
        <v>11</v>
      </c>
      <c r="K35" t="s">
        <v>12</v>
      </c>
    </row>
    <row r="36" spans="3:13" x14ac:dyDescent="0.3">
      <c r="C36" s="1">
        <v>42167</v>
      </c>
      <c r="D36">
        <f t="shared" si="10"/>
        <v>20.991101984941821</v>
      </c>
      <c r="E36" s="2">
        <v>110.11</v>
      </c>
      <c r="H36" t="s">
        <v>8</v>
      </c>
      <c r="I36">
        <f>0.0513*26^2-2.8297*26+143.87</f>
        <v>104.9766</v>
      </c>
      <c r="J36">
        <f>0.01*26^3-0.5814*26^2+10.337*26+53.36</f>
        <v>104.85559999999997</v>
      </c>
      <c r="K36">
        <f>0.0032*16^4-0.2337*16^3+6.2275*16^2-73.246*16+433.66</f>
        <v>108.44400000000013</v>
      </c>
      <c r="L36" s="4" t="s">
        <v>14</v>
      </c>
      <c r="M36">
        <f>(I36+J36)/2</f>
        <v>104.91609999999999</v>
      </c>
    </row>
    <row r="37" spans="3:13" x14ac:dyDescent="0.3">
      <c r="C37" s="1">
        <v>42207</v>
      </c>
      <c r="D37">
        <f t="shared" si="10"/>
        <v>21.100616016427104</v>
      </c>
      <c r="E37" s="2">
        <v>109.65</v>
      </c>
      <c r="H37" t="s">
        <v>9</v>
      </c>
      <c r="I37">
        <f>0.0513*29^2-2.8297*29+143.87</f>
        <v>104.952</v>
      </c>
      <c r="J37">
        <f>0.01*29^3-0.5814*29^2+10.337*29+53.36</f>
        <v>108.06559999999998</v>
      </c>
      <c r="K37">
        <f>0.0032*29^4-0.2337*29^3+6.2275*29^2-73.246*29+433.66</f>
        <v>110.44340000000074</v>
      </c>
      <c r="L37" t="s">
        <v>15</v>
      </c>
      <c r="M37">
        <f>(I37+J37)/2</f>
        <v>106.50879999999998</v>
      </c>
    </row>
    <row r="38" spans="3:13" x14ac:dyDescent="0.3">
      <c r="C38" s="1">
        <v>42483</v>
      </c>
      <c r="D38">
        <f t="shared" si="10"/>
        <v>21.856262833675565</v>
      </c>
      <c r="E38" s="2">
        <v>106.14</v>
      </c>
      <c r="F38" s="3">
        <f>AVERAGE(E38:E51)</f>
        <v>105.65214285714288</v>
      </c>
    </row>
    <row r="39" spans="3:13" x14ac:dyDescent="0.3">
      <c r="C39" s="1">
        <v>42490</v>
      </c>
      <c r="D39">
        <f t="shared" si="10"/>
        <v>21.87542778918549</v>
      </c>
      <c r="E39" s="2">
        <v>104.63</v>
      </c>
    </row>
    <row r="40" spans="3:13" x14ac:dyDescent="0.3">
      <c r="C40" s="1">
        <v>42502</v>
      </c>
      <c r="D40">
        <f t="shared" si="10"/>
        <v>21.908281998631075</v>
      </c>
      <c r="E40" s="2">
        <v>107.38</v>
      </c>
    </row>
    <row r="41" spans="3:13" x14ac:dyDescent="0.3">
      <c r="C41" s="1">
        <v>42504</v>
      </c>
      <c r="D41">
        <f t="shared" si="10"/>
        <v>21.913757700205338</v>
      </c>
      <c r="E41" s="2">
        <v>105.68</v>
      </c>
    </row>
    <row r="42" spans="3:13" x14ac:dyDescent="0.3">
      <c r="C42" s="1">
        <v>42516</v>
      </c>
      <c r="D42">
        <f t="shared" si="10"/>
        <v>21.946611909650922</v>
      </c>
      <c r="E42" s="2">
        <v>106.91</v>
      </c>
      <c r="F42" s="3"/>
    </row>
    <row r="43" spans="3:13" x14ac:dyDescent="0.3">
      <c r="C43" s="1">
        <v>42517</v>
      </c>
      <c r="D43">
        <f t="shared" si="10"/>
        <v>21.949349760438057</v>
      </c>
      <c r="E43" s="2">
        <v>104.89</v>
      </c>
    </row>
    <row r="44" spans="3:13" x14ac:dyDescent="0.3">
      <c r="C44" s="1">
        <v>42529</v>
      </c>
      <c r="D44">
        <f t="shared" si="10"/>
        <v>21.982203969883642</v>
      </c>
      <c r="E44" s="2">
        <v>105.48</v>
      </c>
    </row>
    <row r="45" spans="3:13" x14ac:dyDescent="0.3">
      <c r="C45" s="1">
        <v>42531</v>
      </c>
      <c r="D45">
        <f t="shared" si="10"/>
        <v>21.987679671457904</v>
      </c>
      <c r="E45" s="2">
        <v>104.5</v>
      </c>
    </row>
    <row r="46" spans="3:13" x14ac:dyDescent="0.3">
      <c r="C46" s="1">
        <v>42560</v>
      </c>
      <c r="D46">
        <f t="shared" si="10"/>
        <v>22.067077344284737</v>
      </c>
      <c r="E46" s="2">
        <v>108.02</v>
      </c>
    </row>
    <row r="47" spans="3:13" x14ac:dyDescent="0.3">
      <c r="C47" s="1">
        <v>42561</v>
      </c>
      <c r="D47">
        <f t="shared" si="10"/>
        <v>22.069815195071868</v>
      </c>
      <c r="E47" s="2">
        <v>105.25</v>
      </c>
    </row>
    <row r="48" spans="3:13" x14ac:dyDescent="0.3">
      <c r="C48" s="1">
        <v>42566</v>
      </c>
      <c r="D48">
        <f t="shared" si="10"/>
        <v>22.083504449007528</v>
      </c>
      <c r="E48" s="2">
        <v>104.9</v>
      </c>
    </row>
    <row r="49" spans="3:6" x14ac:dyDescent="0.3">
      <c r="C49" s="1">
        <v>42573</v>
      </c>
      <c r="D49">
        <f t="shared" si="10"/>
        <v>22.102669404517453</v>
      </c>
      <c r="E49" s="2">
        <v>103.95</v>
      </c>
    </row>
    <row r="50" spans="3:6" x14ac:dyDescent="0.3">
      <c r="C50" s="1">
        <v>42594</v>
      </c>
      <c r="D50">
        <f t="shared" si="10"/>
        <v>22.160164271047229</v>
      </c>
      <c r="E50" s="2">
        <v>105.99</v>
      </c>
      <c r="F50" s="3"/>
    </row>
    <row r="51" spans="3:6" x14ac:dyDescent="0.3">
      <c r="C51" s="1">
        <v>42595</v>
      </c>
      <c r="D51">
        <f t="shared" si="10"/>
        <v>22.16290212183436</v>
      </c>
      <c r="E51" s="2">
        <v>105.41</v>
      </c>
    </row>
    <row r="52" spans="3:6" x14ac:dyDescent="0.3">
      <c r="C52" s="1">
        <v>42868</v>
      </c>
      <c r="D52">
        <f t="shared" si="10"/>
        <v>22.910335386721425</v>
      </c>
      <c r="E52" s="2">
        <v>106.4</v>
      </c>
      <c r="F52" s="3">
        <f>AVERAGE(E52:E62)</f>
        <v>105.83454545454543</v>
      </c>
    </row>
    <row r="53" spans="3:6" x14ac:dyDescent="0.3">
      <c r="C53" s="1">
        <v>42888</v>
      </c>
      <c r="D53">
        <f t="shared" si="10"/>
        <v>22.965092402464066</v>
      </c>
      <c r="E53" s="2">
        <v>105.36</v>
      </c>
    </row>
    <row r="54" spans="3:6" x14ac:dyDescent="0.3">
      <c r="C54" s="1">
        <v>42894</v>
      </c>
      <c r="D54">
        <f t="shared" si="10"/>
        <v>22.981519507186857</v>
      </c>
      <c r="E54" s="2">
        <v>106.69</v>
      </c>
    </row>
    <row r="55" spans="3:6" x14ac:dyDescent="0.3">
      <c r="C55" s="1">
        <v>42923</v>
      </c>
      <c r="D55">
        <f t="shared" si="10"/>
        <v>23.060917180013689</v>
      </c>
      <c r="E55" s="2">
        <v>107.38</v>
      </c>
    </row>
    <row r="56" spans="3:6" x14ac:dyDescent="0.3">
      <c r="C56" s="1">
        <v>42924</v>
      </c>
      <c r="D56">
        <f t="shared" si="10"/>
        <v>23.06365503080082</v>
      </c>
      <c r="E56" s="2">
        <v>105.23</v>
      </c>
    </row>
    <row r="57" spans="3:6" x14ac:dyDescent="0.3">
      <c r="C57" s="1">
        <v>42932</v>
      </c>
      <c r="D57">
        <f t="shared" si="10"/>
        <v>23.085557837097877</v>
      </c>
      <c r="E57" s="2">
        <v>105.01</v>
      </c>
    </row>
    <row r="58" spans="3:6" x14ac:dyDescent="0.3">
      <c r="C58" s="1">
        <v>42937</v>
      </c>
      <c r="D58">
        <f t="shared" si="10"/>
        <v>23.09924709103354</v>
      </c>
      <c r="E58" s="2">
        <v>104.41</v>
      </c>
    </row>
    <row r="59" spans="3:6" x14ac:dyDescent="0.3">
      <c r="C59" s="1">
        <v>42952</v>
      </c>
      <c r="D59">
        <f t="shared" si="10"/>
        <v>23.140314852840522</v>
      </c>
      <c r="E59" s="2">
        <v>105.69</v>
      </c>
    </row>
    <row r="60" spans="3:6" x14ac:dyDescent="0.3">
      <c r="C60" s="1">
        <v>42953</v>
      </c>
      <c r="D60">
        <f t="shared" si="10"/>
        <v>23.143052703627653</v>
      </c>
      <c r="E60" s="2">
        <v>105.53</v>
      </c>
    </row>
    <row r="61" spans="3:6" x14ac:dyDescent="0.3">
      <c r="C61" s="1">
        <v>42955</v>
      </c>
      <c r="D61">
        <f t="shared" si="10"/>
        <v>23.148528405201915</v>
      </c>
      <c r="E61" s="2">
        <v>107.09</v>
      </c>
    </row>
    <row r="62" spans="3:6" x14ac:dyDescent="0.3">
      <c r="C62" s="1">
        <v>42967</v>
      </c>
      <c r="D62">
        <f t="shared" si="10"/>
        <v>23.1813826146475</v>
      </c>
      <c r="E62" s="2">
        <v>105.39</v>
      </c>
    </row>
    <row r="63" spans="3:6" x14ac:dyDescent="0.3">
      <c r="C63" s="1">
        <v>43232</v>
      </c>
      <c r="D63">
        <f t="shared" si="10"/>
        <v>23.906913073237508</v>
      </c>
      <c r="E63" s="2">
        <v>105.78</v>
      </c>
      <c r="F63" s="3">
        <f>AVERAGE(E63:E70)</f>
        <v>105.91499999999999</v>
      </c>
    </row>
    <row r="64" spans="3:6" x14ac:dyDescent="0.3">
      <c r="C64" s="1">
        <v>43239</v>
      </c>
      <c r="D64">
        <f t="shared" si="10"/>
        <v>23.926078028747433</v>
      </c>
      <c r="E64" s="2">
        <v>105.18</v>
      </c>
      <c r="F64" s="3"/>
    </row>
    <row r="65" spans="3:7" x14ac:dyDescent="0.3">
      <c r="C65" s="1">
        <v>43251</v>
      </c>
      <c r="D65">
        <f t="shared" si="10"/>
        <v>23.958932238193018</v>
      </c>
      <c r="E65" s="2">
        <v>104.99</v>
      </c>
    </row>
    <row r="66" spans="3:7" x14ac:dyDescent="0.3">
      <c r="C66" s="1">
        <v>43287</v>
      </c>
      <c r="D66">
        <f t="shared" ref="D66:D80" si="11">(C66-$B$1)/365.25</f>
        <v>24.057494866529773</v>
      </c>
      <c r="E66" s="2">
        <v>109.83</v>
      </c>
      <c r="G66" s="1"/>
    </row>
    <row r="67" spans="3:7" x14ac:dyDescent="0.3">
      <c r="C67" s="1">
        <v>43289</v>
      </c>
      <c r="D67">
        <f t="shared" si="11"/>
        <v>24.062970568104038</v>
      </c>
      <c r="E67" s="2">
        <v>106.42</v>
      </c>
      <c r="G67" s="1"/>
    </row>
    <row r="68" spans="3:7" x14ac:dyDescent="0.3">
      <c r="C68" s="1">
        <v>43301</v>
      </c>
      <c r="D68">
        <f t="shared" si="11"/>
        <v>24.095824777549623</v>
      </c>
      <c r="E68" s="2">
        <v>103.2</v>
      </c>
    </row>
    <row r="69" spans="3:7" x14ac:dyDescent="0.3">
      <c r="C69" s="1">
        <v>43323</v>
      </c>
      <c r="D69">
        <f t="shared" si="11"/>
        <v>24.156057494866531</v>
      </c>
      <c r="E69" s="2">
        <v>106.14</v>
      </c>
    </row>
    <row r="70" spans="3:7" x14ac:dyDescent="0.3">
      <c r="C70" s="1">
        <v>43330</v>
      </c>
      <c r="D70">
        <f t="shared" si="11"/>
        <v>24.175222450376456</v>
      </c>
      <c r="E70" s="2">
        <v>105.78</v>
      </c>
    </row>
    <row r="71" spans="3:7" x14ac:dyDescent="0.3">
      <c r="C71" s="1">
        <v>43616</v>
      </c>
      <c r="D71">
        <f t="shared" si="11"/>
        <v>24.958247775496236</v>
      </c>
      <c r="E71" s="2">
        <v>105.04</v>
      </c>
      <c r="F71" s="3">
        <f>AVERAGE(E71:E80)</f>
        <v>105.07000000000001</v>
      </c>
    </row>
    <row r="72" spans="3:7" x14ac:dyDescent="0.3">
      <c r="C72" s="1">
        <v>43622</v>
      </c>
      <c r="D72">
        <f t="shared" si="11"/>
        <v>24.974674880219027</v>
      </c>
      <c r="E72" s="2">
        <v>103.9</v>
      </c>
    </row>
    <row r="73" spans="3:7" x14ac:dyDescent="0.3">
      <c r="C73" s="1">
        <v>43651</v>
      </c>
      <c r="D73">
        <f t="shared" si="11"/>
        <v>25.054072553045859</v>
      </c>
      <c r="E73" s="2">
        <v>104.14</v>
      </c>
    </row>
    <row r="74" spans="3:7" x14ac:dyDescent="0.3">
      <c r="C74" s="1">
        <v>43658</v>
      </c>
      <c r="D74">
        <f t="shared" si="11"/>
        <v>25.073237508555785</v>
      </c>
      <c r="E74" s="2">
        <v>103.83</v>
      </c>
    </row>
    <row r="75" spans="3:7" x14ac:dyDescent="0.3">
      <c r="C75" s="1">
        <v>43672</v>
      </c>
      <c r="D75">
        <f t="shared" si="11"/>
        <v>25.111567419575632</v>
      </c>
      <c r="E75" s="2">
        <v>109.7</v>
      </c>
      <c r="F75" s="3"/>
    </row>
    <row r="76" spans="3:7" x14ac:dyDescent="0.3">
      <c r="C76" s="1">
        <v>43673</v>
      </c>
      <c r="D76">
        <f t="shared" si="11"/>
        <v>25.114305270362767</v>
      </c>
      <c r="E76" s="2">
        <v>104.63</v>
      </c>
    </row>
    <row r="77" spans="3:7" x14ac:dyDescent="0.3">
      <c r="C77" s="1">
        <v>43701</v>
      </c>
      <c r="D77">
        <f t="shared" si="11"/>
        <v>25.190965092402465</v>
      </c>
      <c r="E77" s="2">
        <v>103.78</v>
      </c>
    </row>
    <row r="78" spans="3:7" x14ac:dyDescent="0.3">
      <c r="C78" s="1">
        <v>43706</v>
      </c>
      <c r="D78">
        <f t="shared" si="11"/>
        <v>25.204654346338124</v>
      </c>
      <c r="E78" s="2">
        <v>103.51</v>
      </c>
    </row>
    <row r="79" spans="3:7" x14ac:dyDescent="0.3">
      <c r="C79" s="1">
        <v>43736</v>
      </c>
      <c r="D79">
        <f t="shared" si="11"/>
        <v>25.286789869952088</v>
      </c>
      <c r="E79" s="2">
        <v>105.96</v>
      </c>
    </row>
    <row r="80" spans="3:7" x14ac:dyDescent="0.3">
      <c r="C80" s="1">
        <v>43737</v>
      </c>
      <c r="D80">
        <f t="shared" si="11"/>
        <v>25.289527720739219</v>
      </c>
      <c r="E80" s="2">
        <v>106.21</v>
      </c>
    </row>
    <row r="83" spans="6:6" x14ac:dyDescent="0.3">
      <c r="F83" s="3"/>
    </row>
  </sheetData>
  <sortState xmlns:xlrd2="http://schemas.microsoft.com/office/spreadsheetml/2017/richdata2" ref="C2:E14">
    <sortCondition ref="C2:C14"/>
  </sortState>
  <conditionalFormatting sqref="U3:V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S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:Z11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3:AB1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062D-4486-455F-BC2C-5B7278C377ED}">
  <dimension ref="A1:AF110"/>
  <sheetViews>
    <sheetView topLeftCell="Z1" workbookViewId="0">
      <selection activeCell="AF2" sqref="AF2"/>
    </sheetView>
  </sheetViews>
  <sheetFormatPr defaultRowHeight="14.4" x14ac:dyDescent="0.3"/>
  <cols>
    <col min="1" max="1" width="9.44140625" bestFit="1" customWidth="1"/>
    <col min="2" max="2" width="9.88671875" bestFit="1" customWidth="1"/>
    <col min="5" max="5" width="13.88671875" bestFit="1" customWidth="1"/>
    <col min="8" max="8" width="40.88671875" bestFit="1" customWidth="1"/>
    <col min="9" max="10" width="9" bestFit="1" customWidth="1"/>
    <col min="11" max="11" width="40.88671875" bestFit="1" customWidth="1"/>
    <col min="12" max="13" width="9" bestFit="1" customWidth="1"/>
    <col min="14" max="14" width="7" bestFit="1" customWidth="1"/>
    <col min="15" max="15" width="9.6640625" bestFit="1" customWidth="1"/>
    <col min="16" max="16" width="15.88671875" bestFit="1" customWidth="1"/>
    <col min="17" max="17" width="10.3320312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  <col min="25" max="26" width="20.6640625" bestFit="1" customWidth="1"/>
    <col min="27" max="27" width="17" bestFit="1" customWidth="1"/>
    <col min="28" max="28" width="21" bestFit="1" customWidth="1"/>
    <col min="29" max="29" width="17.44140625" bestFit="1" customWidth="1"/>
    <col min="31" max="31" width="9.88671875" bestFit="1" customWidth="1"/>
  </cols>
  <sheetData>
    <row r="1" spans="1:32" x14ac:dyDescent="0.3">
      <c r="A1" s="1">
        <v>32494</v>
      </c>
      <c r="B1" t="s">
        <v>1</v>
      </c>
      <c r="C1" t="s">
        <v>3</v>
      </c>
      <c r="D1" t="s">
        <v>0</v>
      </c>
      <c r="E1" t="s">
        <v>18</v>
      </c>
    </row>
    <row r="2" spans="1:32" x14ac:dyDescent="0.3">
      <c r="B2" s="1">
        <v>38518</v>
      </c>
      <c r="C2" s="4">
        <f>(B2-$A$1)/365.25</f>
        <v>16.492813141683779</v>
      </c>
      <c r="D2" s="2">
        <v>111.2</v>
      </c>
      <c r="E2" s="6">
        <v>111.2</v>
      </c>
      <c r="P2" t="s">
        <v>4</v>
      </c>
      <c r="Q2" t="s">
        <v>5</v>
      </c>
      <c r="R2" t="s">
        <v>21</v>
      </c>
      <c r="S2" t="s">
        <v>22</v>
      </c>
      <c r="T2" t="s">
        <v>6</v>
      </c>
      <c r="U2" t="s">
        <v>23</v>
      </c>
      <c r="V2" t="s">
        <v>24</v>
      </c>
      <c r="W2" t="s">
        <v>6</v>
      </c>
      <c r="Z2" t="s">
        <v>21</v>
      </c>
      <c r="AA2" t="s">
        <v>22</v>
      </c>
      <c r="AB2" t="s">
        <v>23</v>
      </c>
      <c r="AC2" t="s">
        <v>24</v>
      </c>
      <c r="AE2" t="s">
        <v>28</v>
      </c>
      <c r="AF2" t="s">
        <v>30</v>
      </c>
    </row>
    <row r="3" spans="1:32" x14ac:dyDescent="0.3">
      <c r="B3" s="1">
        <v>38899</v>
      </c>
      <c r="C3" s="4">
        <f t="shared" ref="C3:C110" si="0">(B3-$A$1)/365.25</f>
        <v>17.535934291581111</v>
      </c>
      <c r="D3" s="2">
        <v>106.3</v>
      </c>
      <c r="E3" s="3">
        <f>AVERAGE(D3:D7)</f>
        <v>107.51200000000001</v>
      </c>
      <c r="P3">
        <v>2006</v>
      </c>
      <c r="Q3">
        <v>6</v>
      </c>
      <c r="R3">
        <v>0.11724999999999999</v>
      </c>
      <c r="S3">
        <v>1.73</v>
      </c>
      <c r="T3" s="2">
        <f>S3/R3</f>
        <v>14.754797441364607</v>
      </c>
      <c r="U3">
        <v>21.732749999999999</v>
      </c>
      <c r="V3" s="5">
        <v>258.67</v>
      </c>
      <c r="W3" s="2">
        <f>V3/U3</f>
        <v>11.902313328962052</v>
      </c>
      <c r="Z3">
        <f>LOG(R3)</f>
        <v>-0.93088714861287913</v>
      </c>
      <c r="AA3">
        <f>LOG(S3)</f>
        <v>0.2380461031287954</v>
      </c>
      <c r="AB3" s="5">
        <f>LOG(U3)</f>
        <v>1.3371146841787744</v>
      </c>
      <c r="AC3" s="5">
        <f>LOG(V3)</f>
        <v>2.4127460630808408</v>
      </c>
    </row>
    <row r="4" spans="1:32" x14ac:dyDescent="0.3">
      <c r="B4" s="1">
        <v>38920</v>
      </c>
      <c r="C4" s="4">
        <f t="shared" si="0"/>
        <v>17.593429158110883</v>
      </c>
      <c r="D4" s="2">
        <v>107.5</v>
      </c>
      <c r="P4">
        <v>2007</v>
      </c>
      <c r="Q4">
        <v>14</v>
      </c>
      <c r="R4">
        <v>0.34062500000000001</v>
      </c>
      <c r="S4">
        <v>5.6875000000000002E-2</v>
      </c>
      <c r="T4" s="2">
        <f t="shared" ref="T4:T14" si="1">S4/R4</f>
        <v>0.16697247706422019</v>
      </c>
      <c r="U4" s="5">
        <v>0.72557499999999997</v>
      </c>
      <c r="V4" s="5">
        <v>8.5499749999999999</v>
      </c>
      <c r="W4" s="2">
        <f t="shared" ref="W4:W14" si="2">V4/U4</f>
        <v>11.783723253970988</v>
      </c>
      <c r="Z4">
        <f>LOG(R4)</f>
        <v>-0.46772348037928235</v>
      </c>
      <c r="AA4">
        <f t="shared" ref="AA4:AA16" si="3">LOG(S4)</f>
        <v>-1.2450785903348311</v>
      </c>
      <c r="AB4" s="5">
        <f t="shared" ref="AB4:AB11" si="4">LOG(U4)</f>
        <v>-0.13931768949412018</v>
      </c>
      <c r="AC4" s="5">
        <f t="shared" ref="AC4:AC11" si="5">LOG(V4)</f>
        <v>0.93196484485941</v>
      </c>
    </row>
    <row r="5" spans="1:32" x14ac:dyDescent="0.3">
      <c r="B5" s="1">
        <v>38944</v>
      </c>
      <c r="C5" s="4">
        <f t="shared" si="0"/>
        <v>17.659137577002053</v>
      </c>
      <c r="D5" s="2">
        <v>109.12</v>
      </c>
      <c r="P5">
        <v>2008</v>
      </c>
      <c r="Q5">
        <v>23</v>
      </c>
      <c r="R5">
        <v>0.21232500000000001</v>
      </c>
      <c r="S5">
        <v>0.22848750000000001</v>
      </c>
      <c r="T5" s="2">
        <f t="shared" si="1"/>
        <v>1.0761215118332745</v>
      </c>
      <c r="U5" s="5">
        <v>3.1889249999999998</v>
      </c>
      <c r="V5" s="5">
        <v>1.2795375</v>
      </c>
      <c r="W5" s="2">
        <f t="shared" si="2"/>
        <v>0.40124414967426331</v>
      </c>
      <c r="Z5">
        <f t="shared" ref="Z5:Z16" si="6">LOG(R5)</f>
        <v>-0.67299886724319691</v>
      </c>
      <c r="AA5">
        <f t="shared" si="3"/>
        <v>-0.64113755414781193</v>
      </c>
      <c r="AB5" s="5">
        <f t="shared" si="4"/>
        <v>0.5036443052356937</v>
      </c>
      <c r="AC5" s="5">
        <f t="shared" si="5"/>
        <v>0.10705301847988088</v>
      </c>
    </row>
    <row r="6" spans="1:32" x14ac:dyDescent="0.3">
      <c r="B6" s="1">
        <v>38945</v>
      </c>
      <c r="C6" s="4">
        <f t="shared" si="0"/>
        <v>17.661875427789184</v>
      </c>
      <c r="D6" s="2">
        <v>107.24</v>
      </c>
      <c r="P6">
        <v>2009</v>
      </c>
      <c r="Q6">
        <v>34</v>
      </c>
      <c r="R6">
        <v>0.72050000000000003</v>
      </c>
      <c r="S6">
        <v>0.6524875</v>
      </c>
      <c r="T6" s="2">
        <f t="shared" si="1"/>
        <v>0.90560374739764049</v>
      </c>
      <c r="U6" s="5">
        <v>1.4595</v>
      </c>
      <c r="V6" s="5">
        <v>1.9648375</v>
      </c>
      <c r="W6" s="2">
        <f t="shared" si="2"/>
        <v>1.3462401507365536</v>
      </c>
      <c r="Z6">
        <f t="shared" si="6"/>
        <v>-0.14236601484999187</v>
      </c>
      <c r="AA6">
        <f t="shared" si="3"/>
        <v>-0.18542780388703517</v>
      </c>
      <c r="AB6" s="5">
        <f t="shared" si="4"/>
        <v>0.16420409932403315</v>
      </c>
      <c r="AC6" s="5">
        <f t="shared" si="5"/>
        <v>0.29332663828826033</v>
      </c>
    </row>
    <row r="7" spans="1:32" x14ac:dyDescent="0.3">
      <c r="B7" s="1">
        <v>38947</v>
      </c>
      <c r="C7" s="4">
        <f t="shared" si="0"/>
        <v>17.66735112936345</v>
      </c>
      <c r="D7" s="2">
        <v>107.4</v>
      </c>
      <c r="P7">
        <v>2010</v>
      </c>
      <c r="Q7">
        <v>50</v>
      </c>
      <c r="R7">
        <v>0.21287500000000001</v>
      </c>
      <c r="S7">
        <v>0.62075000000000002</v>
      </c>
      <c r="T7" s="2">
        <f t="shared" si="1"/>
        <v>2.9160305343511452</v>
      </c>
      <c r="U7" s="5">
        <v>0.670875</v>
      </c>
      <c r="V7" s="5">
        <v>2.67875</v>
      </c>
      <c r="W7" s="2">
        <f t="shared" si="2"/>
        <v>3.9929196944289176</v>
      </c>
      <c r="Z7">
        <f t="shared" si="6"/>
        <v>-0.67187533902934249</v>
      </c>
      <c r="AA7">
        <f t="shared" si="3"/>
        <v>-0.20708327177339805</v>
      </c>
      <c r="AB7" s="5">
        <f t="shared" si="4"/>
        <v>-0.17335839170490816</v>
      </c>
      <c r="AC7" s="5">
        <f t="shared" si="5"/>
        <v>0.42793218404988509</v>
      </c>
    </row>
    <row r="8" spans="1:32" x14ac:dyDescent="0.3">
      <c r="B8" s="1">
        <v>39213</v>
      </c>
      <c r="C8" s="4">
        <f t="shared" si="0"/>
        <v>18.395619438740589</v>
      </c>
      <c r="D8" s="2">
        <v>105.63</v>
      </c>
      <c r="E8" s="3">
        <f>AVERAGE(D8:D15)</f>
        <v>106.00124999999998</v>
      </c>
      <c r="P8">
        <v>2011</v>
      </c>
      <c r="Q8">
        <v>65</v>
      </c>
      <c r="R8">
        <v>0.40439999999999998</v>
      </c>
      <c r="S8">
        <v>0.60217500000000002</v>
      </c>
      <c r="T8" s="2">
        <f t="shared" si="1"/>
        <v>1.4890578635014837</v>
      </c>
      <c r="U8" s="5">
        <v>0.85919999999999996</v>
      </c>
      <c r="V8" s="5">
        <v>0.69817499999999999</v>
      </c>
      <c r="W8" s="2">
        <f t="shared" si="2"/>
        <v>0.81258729050279332</v>
      </c>
      <c r="Z8">
        <f t="shared" si="6"/>
        <v>-0.39318885308103657</v>
      </c>
      <c r="AA8">
        <f t="shared" si="3"/>
        <v>-0.22027727869277544</v>
      </c>
      <c r="AB8" s="5">
        <f t="shared" si="4"/>
        <v>-6.5905731644519627E-2</v>
      </c>
      <c r="AC8" s="5">
        <f t="shared" si="5"/>
        <v>-0.15603570630447181</v>
      </c>
    </row>
    <row r="9" spans="1:32" x14ac:dyDescent="0.3">
      <c r="B9" s="1">
        <v>39247</v>
      </c>
      <c r="C9" s="4">
        <f t="shared" si="0"/>
        <v>18.488706365503081</v>
      </c>
      <c r="D9" s="2">
        <v>107.3</v>
      </c>
      <c r="P9">
        <v>2012</v>
      </c>
      <c r="Q9">
        <v>74</v>
      </c>
      <c r="R9">
        <v>0.35162500000000002</v>
      </c>
      <c r="S9">
        <v>0.29065000000000002</v>
      </c>
      <c r="T9" s="2">
        <f t="shared" si="1"/>
        <v>0.82659082829719166</v>
      </c>
      <c r="U9" s="5">
        <v>1.4606250000000001</v>
      </c>
      <c r="V9" s="5">
        <v>2.5167250000000001</v>
      </c>
      <c r="W9" s="2">
        <f t="shared" si="2"/>
        <v>1.7230466409927256</v>
      </c>
      <c r="Z9">
        <f t="shared" si="6"/>
        <v>-0.45392025482674264</v>
      </c>
      <c r="AA9">
        <f t="shared" si="3"/>
        <v>-0.53662967270759299</v>
      </c>
      <c r="AB9" s="5">
        <f t="shared" si="4"/>
        <v>0.16453872973630213</v>
      </c>
      <c r="AC9" s="5">
        <f t="shared" si="5"/>
        <v>0.40083576322125219</v>
      </c>
    </row>
    <row r="10" spans="1:32" x14ac:dyDescent="0.3">
      <c r="B10" s="1">
        <v>39265</v>
      </c>
      <c r="C10" s="4">
        <f t="shared" si="0"/>
        <v>18.537987679671456</v>
      </c>
      <c r="D10" s="2">
        <v>105.1</v>
      </c>
      <c r="P10">
        <v>2013</v>
      </c>
      <c r="Q10">
        <v>76</v>
      </c>
      <c r="R10">
        <v>0.54090000000000005</v>
      </c>
      <c r="S10">
        <v>0.61212500000000003</v>
      </c>
      <c r="T10" s="2">
        <f t="shared" si="1"/>
        <v>1.1316786836753558</v>
      </c>
      <c r="U10" s="5">
        <v>1.2087000000000001</v>
      </c>
      <c r="V10" s="5">
        <v>1.353675</v>
      </c>
      <c r="W10" s="7">
        <f t="shared" si="2"/>
        <v>1.1199429138744104</v>
      </c>
      <c r="Z10">
        <f t="shared" si="6"/>
        <v>-0.26688301855793556</v>
      </c>
      <c r="AA10">
        <f t="shared" si="3"/>
        <v>-0.21315988297372546</v>
      </c>
      <c r="AB10" s="5">
        <f t="shared" si="4"/>
        <v>8.2318522108040276E-2</v>
      </c>
      <c r="AC10" s="5">
        <f t="shared" si="5"/>
        <v>0.13151440833073599</v>
      </c>
    </row>
    <row r="11" spans="1:32" x14ac:dyDescent="0.3">
      <c r="B11" s="1">
        <v>39273</v>
      </c>
      <c r="C11" s="4">
        <f t="shared" si="0"/>
        <v>18.559890485968516</v>
      </c>
      <c r="D11" s="2">
        <v>105.82</v>
      </c>
      <c r="P11">
        <v>2014</v>
      </c>
      <c r="Q11">
        <v>84</v>
      </c>
      <c r="R11">
        <v>0.49445</v>
      </c>
      <c r="S11">
        <v>0.80389999999999995</v>
      </c>
      <c r="T11" s="2">
        <f t="shared" si="1"/>
        <v>1.6258469005966225</v>
      </c>
      <c r="U11" s="5">
        <v>7.1550000000000002E-2</v>
      </c>
      <c r="V11" s="5">
        <v>0.3498</v>
      </c>
      <c r="W11" s="2">
        <f t="shared" si="2"/>
        <v>4.8888888888888884</v>
      </c>
      <c r="Z11">
        <f t="shared" si="6"/>
        <v>-0.30587761877252739</v>
      </c>
      <c r="AA11">
        <f t="shared" si="3"/>
        <v>-9.4797971337681392E-2</v>
      </c>
      <c r="AB11" s="5">
        <f t="shared" si="4"/>
        <v>-1.1453903619042047</v>
      </c>
      <c r="AC11" s="5">
        <f t="shared" si="5"/>
        <v>-0.45618019485734229</v>
      </c>
    </row>
    <row r="12" spans="1:32" x14ac:dyDescent="0.3">
      <c r="B12" s="1">
        <v>39305</v>
      </c>
      <c r="C12" s="4">
        <f t="shared" si="0"/>
        <v>18.647501711156742</v>
      </c>
      <c r="D12" s="2">
        <v>108.09</v>
      </c>
      <c r="P12">
        <v>2015</v>
      </c>
      <c r="Q12">
        <v>95</v>
      </c>
      <c r="R12">
        <v>0.34534999999999999</v>
      </c>
      <c r="S12">
        <v>0.45166250000000002</v>
      </c>
      <c r="T12" s="2">
        <f t="shared" si="1"/>
        <v>1.3078398725930216</v>
      </c>
      <c r="U12" s="5">
        <v>2.0602499999999999</v>
      </c>
      <c r="V12" s="5">
        <v>2.3886875000000001</v>
      </c>
      <c r="W12" s="2">
        <f t="shared" si="2"/>
        <v>1.1594163329692999</v>
      </c>
      <c r="Z12">
        <f t="shared" si="6"/>
        <v>-0.46174053965783429</v>
      </c>
      <c r="AA12">
        <f t="shared" si="3"/>
        <v>-0.34518596593437734</v>
      </c>
      <c r="AB12" s="5">
        <f>LOG(U12)</f>
        <v>0.31391992281226194</v>
      </c>
      <c r="AC12" s="5">
        <f>LOG(V12)</f>
        <v>0.3781593368981423</v>
      </c>
    </row>
    <row r="13" spans="1:32" x14ac:dyDescent="0.3">
      <c r="B13" s="1">
        <v>39306</v>
      </c>
      <c r="C13" s="4">
        <f t="shared" si="0"/>
        <v>18.650239561943874</v>
      </c>
      <c r="D13" s="2">
        <v>106.41</v>
      </c>
      <c r="P13">
        <v>2016</v>
      </c>
      <c r="Q13">
        <v>106</v>
      </c>
      <c r="R13">
        <v>0.79495000000000005</v>
      </c>
      <c r="S13">
        <v>0.69428749999999995</v>
      </c>
      <c r="T13" s="2">
        <f t="shared" si="1"/>
        <v>0.87337253915340574</v>
      </c>
      <c r="U13" s="5">
        <v>0.88965000000000005</v>
      </c>
      <c r="V13" s="5">
        <v>0.26293749999999999</v>
      </c>
      <c r="W13" s="2">
        <f t="shared" si="2"/>
        <v>0.29555162142415553</v>
      </c>
      <c r="Z13">
        <f t="shared" si="6"/>
        <v>-9.9660186320858934E-2</v>
      </c>
      <c r="AA13">
        <f t="shared" si="3"/>
        <v>-0.15846065374084364</v>
      </c>
      <c r="AB13" s="5">
        <f t="shared" ref="AB13:AB16" si="7">LOG(U13)</f>
        <v>-5.0780816910983996E-2</v>
      </c>
      <c r="AC13" s="5">
        <f t="shared" ref="AC13:AC16" si="8">LOG(V13)</f>
        <v>-0.58014747063892846</v>
      </c>
    </row>
    <row r="14" spans="1:32" x14ac:dyDescent="0.3">
      <c r="B14" s="1">
        <v>39332</v>
      </c>
      <c r="C14" s="4">
        <f t="shared" si="0"/>
        <v>18.721423682409309</v>
      </c>
      <c r="D14" s="2">
        <v>105.51</v>
      </c>
      <c r="P14">
        <v>2017</v>
      </c>
      <c r="Q14">
        <v>109</v>
      </c>
      <c r="R14">
        <v>0.65725</v>
      </c>
      <c r="S14">
        <v>0.39093749999999999</v>
      </c>
      <c r="T14" s="2">
        <f t="shared" si="1"/>
        <v>0.59480791175351844</v>
      </c>
      <c r="U14" s="5">
        <v>1.37815</v>
      </c>
      <c r="V14" s="5">
        <v>1.554875</v>
      </c>
      <c r="W14" s="2">
        <f t="shared" si="2"/>
        <v>1.1282335014330807</v>
      </c>
      <c r="Z14">
        <f t="shared" si="6"/>
        <v>-0.18226940522159965</v>
      </c>
      <c r="AA14">
        <f t="shared" si="3"/>
        <v>-0.40789266862648604</v>
      </c>
      <c r="AB14" s="5">
        <f t="shared" si="7"/>
        <v>0.13929648943442274</v>
      </c>
      <c r="AC14" s="5">
        <f t="shared" si="8"/>
        <v>0.19169548082761478</v>
      </c>
    </row>
    <row r="15" spans="1:32" x14ac:dyDescent="0.3">
      <c r="B15" s="1">
        <v>39339</v>
      </c>
      <c r="C15" s="4">
        <f t="shared" si="0"/>
        <v>18.740588637919235</v>
      </c>
      <c r="D15" s="2">
        <v>104.15</v>
      </c>
      <c r="T15" s="2"/>
      <c r="Y15" t="s">
        <v>25</v>
      </c>
      <c r="Z15">
        <f>AVERAGE(Z3:Z14)</f>
        <v>-0.42078256054610241</v>
      </c>
      <c r="AA15">
        <f t="shared" ref="AA15:AC15" si="9">AVERAGE(AA3:AA14)</f>
        <v>-0.3347571009189802</v>
      </c>
      <c r="AB15">
        <f t="shared" si="9"/>
        <v>9.41903134308993E-2</v>
      </c>
      <c r="AC15">
        <f t="shared" si="9"/>
        <v>0.34023869718627325</v>
      </c>
    </row>
    <row r="16" spans="1:32" x14ac:dyDescent="0.3">
      <c r="B16" s="1">
        <v>39550</v>
      </c>
      <c r="C16" s="4">
        <f t="shared" si="0"/>
        <v>19.318275154004105</v>
      </c>
      <c r="D16" s="2">
        <v>107</v>
      </c>
      <c r="E16" s="3">
        <f>AVERAGE(D16:D24)</f>
        <v>106.42000000000002</v>
      </c>
      <c r="Y16" t="s">
        <v>26</v>
      </c>
      <c r="Z16">
        <f>EXP(Z15)</f>
        <v>0.6565328420325246</v>
      </c>
      <c r="AA16">
        <f t="shared" ref="AA16:AC16" si="10">EXP(AA15)</f>
        <v>0.71551186242052267</v>
      </c>
      <c r="AB16">
        <f t="shared" si="10"/>
        <v>1.0987688364872079</v>
      </c>
      <c r="AC16">
        <f t="shared" si="10"/>
        <v>1.4052829876278981</v>
      </c>
    </row>
    <row r="17" spans="2:29" x14ac:dyDescent="0.3">
      <c r="B17" s="1">
        <v>39556</v>
      </c>
      <c r="C17" s="4">
        <f t="shared" si="0"/>
        <v>19.3347022587269</v>
      </c>
      <c r="D17" s="2">
        <v>107.9</v>
      </c>
      <c r="Q17">
        <v>29.5</v>
      </c>
      <c r="R17">
        <v>29.5</v>
      </c>
    </row>
    <row r="18" spans="2:29" x14ac:dyDescent="0.3">
      <c r="B18" s="1">
        <v>39557</v>
      </c>
      <c r="C18" s="4">
        <f t="shared" si="0"/>
        <v>19.337440109514031</v>
      </c>
      <c r="D18" s="2">
        <v>104.38</v>
      </c>
      <c r="Q18">
        <f>0.0964*Q17^2-4.6271*Q17+159.27</f>
        <v>106.66264999999999</v>
      </c>
      <c r="R18">
        <f>-0.0101*R17^3+0.7808*R17^2-19.959*R17+272.32</f>
        <v>103.72971250000012</v>
      </c>
      <c r="Y18" t="s">
        <v>27</v>
      </c>
      <c r="Z18">
        <f>AVERAGE(Z4:Z14)</f>
        <v>-0.37440941617639539</v>
      </c>
      <c r="AA18">
        <f t="shared" ref="AA18:AC18" si="11">AVERAGE(AA4:AA14)</f>
        <v>-0.38683011946877793</v>
      </c>
      <c r="AB18">
        <f t="shared" si="11"/>
        <v>-1.8802811182543896E-2</v>
      </c>
      <c r="AC18">
        <f t="shared" si="11"/>
        <v>0.15182893665040353</v>
      </c>
    </row>
    <row r="19" spans="2:29" x14ac:dyDescent="0.3">
      <c r="B19" s="1">
        <v>39568</v>
      </c>
      <c r="C19" s="4">
        <f t="shared" si="0"/>
        <v>19.367556468172484</v>
      </c>
      <c r="D19" s="2">
        <v>112.93</v>
      </c>
      <c r="Q19">
        <f>Q18-105.2845</f>
        <v>1.3781499999999909</v>
      </c>
      <c r="R19">
        <f>R18-105.2845</f>
        <v>-1.5547874999998754</v>
      </c>
      <c r="Y19" t="s">
        <v>26</v>
      </c>
      <c r="Z19">
        <f>EXP(Z18)</f>
        <v>0.68769530060431916</v>
      </c>
      <c r="AA19">
        <f t="shared" ref="AA19:AC19" si="12">EXP(AA18)</f>
        <v>0.67920646908222504</v>
      </c>
      <c r="AB19">
        <f t="shared" si="12"/>
        <v>0.98137285891802228</v>
      </c>
      <c r="AC19">
        <f t="shared" si="12"/>
        <v>1.1639611083148482</v>
      </c>
    </row>
    <row r="20" spans="2:29" x14ac:dyDescent="0.3">
      <c r="B20" s="1">
        <v>39569</v>
      </c>
      <c r="C20" s="4">
        <f t="shared" si="0"/>
        <v>19.370294318959616</v>
      </c>
      <c r="D20" s="2">
        <v>108.82</v>
      </c>
    </row>
    <row r="21" spans="2:29" x14ac:dyDescent="0.3">
      <c r="B21" s="1">
        <v>39570</v>
      </c>
      <c r="C21" s="4">
        <f t="shared" si="0"/>
        <v>19.37303216974675</v>
      </c>
      <c r="D21" s="2">
        <v>104.2</v>
      </c>
    </row>
    <row r="22" spans="2:29" x14ac:dyDescent="0.3">
      <c r="B22" s="1">
        <v>39577</v>
      </c>
      <c r="C22" s="4">
        <f t="shared" si="0"/>
        <v>19.392197125256672</v>
      </c>
      <c r="D22" s="2">
        <v>104.36</v>
      </c>
    </row>
    <row r="23" spans="2:29" x14ac:dyDescent="0.3">
      <c r="B23" s="1">
        <v>39605</v>
      </c>
      <c r="C23" s="4">
        <f t="shared" si="0"/>
        <v>19.468856947296374</v>
      </c>
      <c r="D23" s="2">
        <v>103.72</v>
      </c>
    </row>
    <row r="24" spans="2:29" x14ac:dyDescent="0.3">
      <c r="B24" s="1">
        <v>39611</v>
      </c>
      <c r="C24" s="4">
        <f t="shared" si="0"/>
        <v>19.485284052019164</v>
      </c>
      <c r="D24" s="2">
        <v>104.47</v>
      </c>
      <c r="H24" t="s">
        <v>7</v>
      </c>
      <c r="I24" t="s">
        <v>17</v>
      </c>
      <c r="K24" t="s">
        <v>13</v>
      </c>
      <c r="L24" t="s">
        <v>10</v>
      </c>
      <c r="M24" t="s">
        <v>11</v>
      </c>
      <c r="N24" t="s">
        <v>12</v>
      </c>
    </row>
    <row r="25" spans="2:29" x14ac:dyDescent="0.3">
      <c r="B25" s="1">
        <v>39941</v>
      </c>
      <c r="C25" s="4">
        <f t="shared" si="0"/>
        <v>20.388774811772759</v>
      </c>
      <c r="D25" s="2">
        <v>104.78</v>
      </c>
      <c r="E25" s="3">
        <f>AVERAGE(D25:D35)</f>
        <v>105.08272727272725</v>
      </c>
      <c r="H25">
        <v>17</v>
      </c>
      <c r="I25" s="6">
        <v>111.2</v>
      </c>
      <c r="K25" t="s">
        <v>8</v>
      </c>
      <c r="L25">
        <f>0.1057*P25^2-5.2067*P25+167.83</f>
        <v>111.58200000000002</v>
      </c>
      <c r="M25">
        <f>-0.0126*P25^3+0.973*P25^2-24.841*P25+313.54</f>
        <v>113.5624</v>
      </c>
      <c r="N25">
        <f>0.0002*P25^4-0.0331*P25^3+1.6729*P25^2-35.331*P25+371.81</f>
        <v>112.30599999999998</v>
      </c>
      <c r="O25" s="4" t="s">
        <v>14</v>
      </c>
      <c r="P25">
        <v>16</v>
      </c>
    </row>
    <row r="26" spans="2:29" x14ac:dyDescent="0.3">
      <c r="B26" s="1">
        <v>39965</v>
      </c>
      <c r="C26" s="4">
        <f t="shared" si="0"/>
        <v>20.454483230663929</v>
      </c>
      <c r="D26" s="2">
        <v>103.53</v>
      </c>
      <c r="H26">
        <v>18</v>
      </c>
      <c r="I26" s="6">
        <v>107.51</v>
      </c>
      <c r="K26" t="s">
        <v>9</v>
      </c>
      <c r="L26">
        <f>0.1057*P26^2-5.2067*P26+167.83</f>
        <v>106.75900000000001</v>
      </c>
      <c r="M26">
        <f>-0.0126*P26^3+0.973*P26^2-24.841*P26+313.54</f>
        <v>103.81</v>
      </c>
      <c r="N26">
        <f>0.0002*P26^4-0.0331*P26^3+1.6729*P26^2-35.331*P26+371.81</f>
        <v>85.790000000000134</v>
      </c>
      <c r="O26" t="s">
        <v>19</v>
      </c>
      <c r="P26">
        <v>30</v>
      </c>
    </row>
    <row r="27" spans="2:29" x14ac:dyDescent="0.3">
      <c r="B27" s="1">
        <v>39981</v>
      </c>
      <c r="C27" s="4">
        <f t="shared" si="0"/>
        <v>20.498288843258042</v>
      </c>
      <c r="D27" s="2">
        <v>104.09</v>
      </c>
      <c r="H27">
        <v>19</v>
      </c>
      <c r="I27" s="6">
        <v>106</v>
      </c>
      <c r="L27">
        <f>(L26+M26)/2</f>
        <v>105.28450000000001</v>
      </c>
      <c r="M27">
        <f>(L25+M25)/2</f>
        <v>112.57220000000001</v>
      </c>
    </row>
    <row r="28" spans="2:29" x14ac:dyDescent="0.3">
      <c r="B28" s="1">
        <v>39991</v>
      </c>
      <c r="C28" s="4">
        <f t="shared" si="0"/>
        <v>20.525667351129364</v>
      </c>
      <c r="D28" s="2">
        <v>107.1</v>
      </c>
      <c r="H28">
        <v>20</v>
      </c>
      <c r="I28" s="6">
        <v>106.42</v>
      </c>
    </row>
    <row r="29" spans="2:29" x14ac:dyDescent="0.3">
      <c r="B29" s="1">
        <v>40019</v>
      </c>
      <c r="C29" s="4">
        <f t="shared" si="0"/>
        <v>20.602327173169062</v>
      </c>
      <c r="D29" s="2">
        <v>107</v>
      </c>
      <c r="H29">
        <v>21</v>
      </c>
      <c r="I29" s="6">
        <v>105.08</v>
      </c>
    </row>
    <row r="30" spans="2:29" x14ac:dyDescent="0.3">
      <c r="B30" s="1">
        <v>40045</v>
      </c>
      <c r="C30" s="4">
        <f t="shared" si="0"/>
        <v>20.673511293634498</v>
      </c>
      <c r="D30" s="2">
        <v>107.83</v>
      </c>
      <c r="H30">
        <v>22</v>
      </c>
      <c r="I30" s="6">
        <v>103.86</v>
      </c>
    </row>
    <row r="31" spans="2:29" x14ac:dyDescent="0.3">
      <c r="B31" s="1">
        <v>40046</v>
      </c>
      <c r="C31" s="4">
        <f t="shared" si="0"/>
        <v>20.676249144421629</v>
      </c>
      <c r="D31" s="2">
        <v>105.4</v>
      </c>
      <c r="H31">
        <v>23</v>
      </c>
      <c r="I31" s="6">
        <v>104.06</v>
      </c>
    </row>
    <row r="32" spans="2:29" x14ac:dyDescent="0.3">
      <c r="B32" s="1">
        <v>40053</v>
      </c>
      <c r="C32" s="4">
        <f t="shared" si="0"/>
        <v>20.695414099931554</v>
      </c>
      <c r="D32" s="2">
        <v>103.52</v>
      </c>
      <c r="H32">
        <v>24</v>
      </c>
      <c r="I32" s="6">
        <v>102.98</v>
      </c>
    </row>
    <row r="33" spans="2:9" x14ac:dyDescent="0.3">
      <c r="B33" s="1">
        <v>40060</v>
      </c>
      <c r="C33" s="4">
        <f t="shared" si="0"/>
        <v>20.714579055441479</v>
      </c>
      <c r="D33" s="2">
        <v>105.8</v>
      </c>
      <c r="H33">
        <v>25</v>
      </c>
      <c r="I33" s="6">
        <v>104.51</v>
      </c>
    </row>
    <row r="34" spans="2:9" x14ac:dyDescent="0.3">
      <c r="B34" s="1">
        <v>40062</v>
      </c>
      <c r="C34" s="4">
        <f t="shared" si="0"/>
        <v>20.720054757015742</v>
      </c>
      <c r="D34" s="2">
        <v>102.01</v>
      </c>
      <c r="H34">
        <v>26</v>
      </c>
      <c r="I34" s="6">
        <v>104.85</v>
      </c>
    </row>
    <row r="35" spans="2:9" x14ac:dyDescent="0.3">
      <c r="B35" s="1">
        <v>40068</v>
      </c>
      <c r="C35" s="4">
        <f t="shared" si="0"/>
        <v>20.736481861738536</v>
      </c>
      <c r="D35" s="2">
        <v>104.85</v>
      </c>
      <c r="H35">
        <v>27</v>
      </c>
      <c r="I35" s="6">
        <v>105.26</v>
      </c>
    </row>
    <row r="36" spans="2:9" x14ac:dyDescent="0.3">
      <c r="B36" s="1">
        <v>40241</v>
      </c>
      <c r="C36" s="4">
        <f t="shared" si="0"/>
        <v>21.21013004791239</v>
      </c>
      <c r="D36" s="2">
        <v>103.15</v>
      </c>
      <c r="E36" s="3">
        <f>AVERAGE(D36:D51)</f>
        <v>103.85749999999999</v>
      </c>
      <c r="H36">
        <v>28</v>
      </c>
      <c r="I36" s="6">
        <v>104.27</v>
      </c>
    </row>
    <row r="37" spans="2:9" x14ac:dyDescent="0.3">
      <c r="B37" s="1">
        <v>40312</v>
      </c>
      <c r="C37" s="4">
        <f t="shared" si="0"/>
        <v>21.404517453798768</v>
      </c>
      <c r="D37" s="2">
        <v>103</v>
      </c>
      <c r="H37">
        <v>29</v>
      </c>
      <c r="I37" s="6">
        <v>105.05</v>
      </c>
    </row>
    <row r="38" spans="2:9" x14ac:dyDescent="0.3">
      <c r="B38" s="1">
        <v>40325</v>
      </c>
      <c r="C38" s="4">
        <f t="shared" si="0"/>
        <v>21.440109514031484</v>
      </c>
      <c r="D38" s="2">
        <v>104.03</v>
      </c>
    </row>
    <row r="39" spans="2:9" x14ac:dyDescent="0.3">
      <c r="B39" s="1">
        <v>40333</v>
      </c>
      <c r="C39" s="4">
        <f t="shared" si="0"/>
        <v>21.462012320328544</v>
      </c>
      <c r="D39" s="2">
        <v>102.04</v>
      </c>
    </row>
    <row r="40" spans="2:9" x14ac:dyDescent="0.3">
      <c r="B40" s="1">
        <v>40353</v>
      </c>
      <c r="C40" s="4">
        <f t="shared" si="0"/>
        <v>21.516769336071185</v>
      </c>
      <c r="D40" s="2">
        <v>106.1</v>
      </c>
    </row>
    <row r="41" spans="2:9" x14ac:dyDescent="0.3">
      <c r="B41" s="1">
        <v>40354</v>
      </c>
      <c r="C41" s="4">
        <f t="shared" si="0"/>
        <v>21.519507186858316</v>
      </c>
      <c r="D41" s="2">
        <v>105.51</v>
      </c>
    </row>
    <row r="42" spans="2:9" x14ac:dyDescent="0.3">
      <c r="B42" s="1">
        <v>40355</v>
      </c>
      <c r="C42" s="4">
        <f t="shared" si="0"/>
        <v>21.522245037645447</v>
      </c>
      <c r="D42" s="2">
        <v>104.23</v>
      </c>
    </row>
    <row r="43" spans="2:9" x14ac:dyDescent="0.3">
      <c r="B43" s="1">
        <v>40367</v>
      </c>
      <c r="C43" s="4">
        <f t="shared" si="0"/>
        <v>21.555099247091032</v>
      </c>
      <c r="D43" s="2">
        <v>103.25</v>
      </c>
    </row>
    <row r="44" spans="2:9" x14ac:dyDescent="0.3">
      <c r="B44" s="1">
        <v>40369</v>
      </c>
      <c r="C44" s="4">
        <f t="shared" si="0"/>
        <v>21.560574948665298</v>
      </c>
      <c r="D44" s="2">
        <v>101.51</v>
      </c>
    </row>
    <row r="45" spans="2:9" x14ac:dyDescent="0.3">
      <c r="B45" s="1">
        <v>40387</v>
      </c>
      <c r="C45" s="4">
        <f t="shared" si="0"/>
        <v>21.609856262833677</v>
      </c>
      <c r="D45" s="2">
        <v>110.51</v>
      </c>
    </row>
    <row r="46" spans="2:9" x14ac:dyDescent="0.3">
      <c r="B46" s="1">
        <v>40388</v>
      </c>
      <c r="C46" s="4">
        <f t="shared" si="0"/>
        <v>21.612594113620808</v>
      </c>
      <c r="D46" s="2">
        <v>106.58</v>
      </c>
    </row>
    <row r="47" spans="2:9" x14ac:dyDescent="0.3">
      <c r="B47" s="1">
        <v>40389</v>
      </c>
      <c r="C47" s="4">
        <f t="shared" si="0"/>
        <v>21.61533196440794</v>
      </c>
      <c r="D47" s="2">
        <v>102.84</v>
      </c>
    </row>
    <row r="48" spans="2:9" x14ac:dyDescent="0.3">
      <c r="B48" s="1">
        <v>40412</v>
      </c>
      <c r="C48" s="4">
        <f t="shared" si="0"/>
        <v>21.678302532511978</v>
      </c>
      <c r="D48" s="2">
        <v>101.09</v>
      </c>
    </row>
    <row r="49" spans="2:5" x14ac:dyDescent="0.3">
      <c r="B49" s="1">
        <v>40417</v>
      </c>
      <c r="C49" s="4">
        <f t="shared" si="0"/>
        <v>21.691991786447637</v>
      </c>
      <c r="D49" s="2">
        <v>103.5</v>
      </c>
    </row>
    <row r="50" spans="2:5" x14ac:dyDescent="0.3">
      <c r="B50" s="1">
        <v>40419</v>
      </c>
      <c r="C50" s="4">
        <f t="shared" si="0"/>
        <v>21.697467488021903</v>
      </c>
      <c r="D50" s="2">
        <v>101.01</v>
      </c>
    </row>
    <row r="51" spans="2:5" x14ac:dyDescent="0.3">
      <c r="B51" s="1">
        <v>40426</v>
      </c>
      <c r="C51" s="4">
        <f t="shared" si="0"/>
        <v>21.716632443531829</v>
      </c>
      <c r="D51" s="2">
        <v>103.37</v>
      </c>
    </row>
    <row r="52" spans="2:5" x14ac:dyDescent="0.3">
      <c r="B52" s="1">
        <v>40605</v>
      </c>
      <c r="C52" s="4">
        <f t="shared" si="0"/>
        <v>22.206707734428473</v>
      </c>
      <c r="D52" s="2">
        <v>103.88</v>
      </c>
      <c r="E52" s="3">
        <f>AVERAGE(D52:D66)</f>
        <v>104.05533333333332</v>
      </c>
    </row>
    <row r="53" spans="2:5" x14ac:dyDescent="0.3">
      <c r="B53" s="1">
        <v>40621</v>
      </c>
      <c r="C53" s="4">
        <f t="shared" si="0"/>
        <v>22.250513347022586</v>
      </c>
      <c r="D53" s="2">
        <v>104.8</v>
      </c>
    </row>
    <row r="54" spans="2:5" x14ac:dyDescent="0.3">
      <c r="B54" s="1">
        <v>40718</v>
      </c>
      <c r="C54" s="4">
        <f t="shared" si="0"/>
        <v>22.5160848733744</v>
      </c>
      <c r="D54" s="2">
        <v>103.46</v>
      </c>
    </row>
    <row r="55" spans="2:5" x14ac:dyDescent="0.3">
      <c r="B55" s="1">
        <v>40724</v>
      </c>
      <c r="C55" s="4">
        <f t="shared" si="0"/>
        <v>22.532511978097194</v>
      </c>
      <c r="D55" s="2">
        <v>104.15</v>
      </c>
    </row>
    <row r="56" spans="2:5" x14ac:dyDescent="0.3">
      <c r="B56" s="1">
        <v>40738</v>
      </c>
      <c r="C56" s="4">
        <f t="shared" si="0"/>
        <v>22.570841889117045</v>
      </c>
      <c r="D56" s="2">
        <v>106.7</v>
      </c>
    </row>
    <row r="57" spans="2:5" x14ac:dyDescent="0.3">
      <c r="B57" s="1">
        <v>40738</v>
      </c>
      <c r="C57" s="4">
        <f t="shared" si="0"/>
        <v>22.570841889117045</v>
      </c>
      <c r="D57" s="2">
        <v>105.3</v>
      </c>
    </row>
    <row r="58" spans="2:5" x14ac:dyDescent="0.3">
      <c r="B58" s="1">
        <v>40740</v>
      </c>
      <c r="C58" s="4">
        <f t="shared" si="0"/>
        <v>22.576317590691307</v>
      </c>
      <c r="D58" s="2">
        <v>103.76</v>
      </c>
    </row>
    <row r="59" spans="2:5" x14ac:dyDescent="0.3">
      <c r="B59" s="1">
        <v>40746</v>
      </c>
      <c r="C59" s="4">
        <f t="shared" si="0"/>
        <v>22.592744695414101</v>
      </c>
      <c r="D59" s="2">
        <v>102.61</v>
      </c>
    </row>
    <row r="60" spans="2:5" x14ac:dyDescent="0.3">
      <c r="B60" s="1">
        <v>40760</v>
      </c>
      <c r="C60" s="4">
        <f t="shared" si="0"/>
        <v>22.631074606433948</v>
      </c>
      <c r="D60" s="2">
        <v>102.91</v>
      </c>
    </row>
    <row r="61" spans="2:5" x14ac:dyDescent="0.3">
      <c r="B61" s="1">
        <v>40782</v>
      </c>
      <c r="C61" s="4">
        <f t="shared" si="0"/>
        <v>22.691307323750856</v>
      </c>
      <c r="D61" s="2">
        <v>106.29</v>
      </c>
    </row>
    <row r="62" spans="2:5" x14ac:dyDescent="0.3">
      <c r="B62" s="1">
        <v>40783</v>
      </c>
      <c r="C62" s="4">
        <f t="shared" si="0"/>
        <v>22.694045174537987</v>
      </c>
      <c r="D62" s="2">
        <v>104.2</v>
      </c>
    </row>
    <row r="63" spans="2:5" x14ac:dyDescent="0.3">
      <c r="B63" s="1">
        <v>40785</v>
      </c>
      <c r="C63" s="4">
        <f t="shared" si="0"/>
        <v>22.699520876112253</v>
      </c>
      <c r="D63" s="2">
        <v>103.91</v>
      </c>
    </row>
    <row r="64" spans="2:5" x14ac:dyDescent="0.3">
      <c r="B64" s="1">
        <v>40796</v>
      </c>
      <c r="C64" s="4">
        <f t="shared" si="0"/>
        <v>22.729637234770706</v>
      </c>
      <c r="D64" s="2">
        <v>101.33</v>
      </c>
    </row>
    <row r="65" spans="2:5" x14ac:dyDescent="0.3">
      <c r="B65" s="1">
        <v>40802</v>
      </c>
      <c r="C65" s="4">
        <f t="shared" si="0"/>
        <v>22.746064339493497</v>
      </c>
      <c r="D65" s="2">
        <v>103.96</v>
      </c>
    </row>
    <row r="66" spans="2:5" x14ac:dyDescent="0.3">
      <c r="B66" s="1">
        <v>40804</v>
      </c>
      <c r="C66" s="4">
        <f t="shared" si="0"/>
        <v>22.751540041067763</v>
      </c>
      <c r="D66" s="2">
        <v>103.57</v>
      </c>
    </row>
    <row r="67" spans="2:5" x14ac:dyDescent="0.3">
      <c r="B67" s="1">
        <v>40971</v>
      </c>
      <c r="C67" s="4">
        <f t="shared" si="0"/>
        <v>23.208761122518823</v>
      </c>
      <c r="D67" s="2">
        <v>104.33</v>
      </c>
      <c r="E67" s="3">
        <f>AVERAGE(D67:D75)</f>
        <v>102.97777777777777</v>
      </c>
    </row>
    <row r="68" spans="2:5" x14ac:dyDescent="0.3">
      <c r="B68" s="1">
        <v>41040</v>
      </c>
      <c r="C68" s="4">
        <f t="shared" si="0"/>
        <v>23.397672826830938</v>
      </c>
      <c r="D68" s="2">
        <v>103.1</v>
      </c>
    </row>
    <row r="69" spans="2:5" x14ac:dyDescent="0.3">
      <c r="B69" s="1">
        <v>41069</v>
      </c>
      <c r="C69" s="4">
        <f t="shared" si="0"/>
        <v>23.477070499657767</v>
      </c>
      <c r="D69" s="2">
        <v>101.74</v>
      </c>
    </row>
    <row r="70" spans="2:5" x14ac:dyDescent="0.3">
      <c r="B70" s="1">
        <v>41083</v>
      </c>
      <c r="C70" s="4">
        <f t="shared" si="0"/>
        <v>23.515400410677618</v>
      </c>
      <c r="D70" s="2">
        <v>102.12</v>
      </c>
    </row>
    <row r="71" spans="2:5" x14ac:dyDescent="0.3">
      <c r="B71" s="1">
        <v>41096</v>
      </c>
      <c r="C71" s="4">
        <f t="shared" si="0"/>
        <v>23.550992470910334</v>
      </c>
      <c r="D71" s="2">
        <v>101.54</v>
      </c>
    </row>
    <row r="72" spans="2:5" x14ac:dyDescent="0.3">
      <c r="B72" s="1">
        <v>41127</v>
      </c>
      <c r="C72" s="4">
        <f t="shared" si="0"/>
        <v>23.635865845311429</v>
      </c>
      <c r="D72" s="2">
        <v>105.9</v>
      </c>
    </row>
    <row r="73" spans="2:5" x14ac:dyDescent="0.3">
      <c r="B73" s="1">
        <v>41128</v>
      </c>
      <c r="C73" s="4">
        <f t="shared" si="0"/>
        <v>23.638603696098563</v>
      </c>
      <c r="D73" s="2">
        <v>104.35</v>
      </c>
    </row>
    <row r="74" spans="2:5" x14ac:dyDescent="0.3">
      <c r="B74" s="1">
        <v>41130</v>
      </c>
      <c r="C74" s="4">
        <f t="shared" si="0"/>
        <v>23.644079397672826</v>
      </c>
      <c r="D74" s="2">
        <v>100.91</v>
      </c>
    </row>
    <row r="75" spans="2:5" x14ac:dyDescent="0.3">
      <c r="B75" s="1">
        <v>41151</v>
      </c>
      <c r="C75" s="4">
        <f t="shared" si="0"/>
        <v>23.701574264202602</v>
      </c>
      <c r="D75" s="2">
        <v>102.81</v>
      </c>
    </row>
    <row r="76" spans="2:5" x14ac:dyDescent="0.3">
      <c r="B76" s="1">
        <v>41404</v>
      </c>
      <c r="C76" s="4">
        <f t="shared" si="0"/>
        <v>24.394250513347021</v>
      </c>
      <c r="D76" s="2">
        <v>103.87</v>
      </c>
      <c r="E76" s="3">
        <f>AVERAGE(D76:D77)</f>
        <v>104.505</v>
      </c>
    </row>
    <row r="77" spans="2:5" x14ac:dyDescent="0.3">
      <c r="B77" s="1">
        <v>41419</v>
      </c>
      <c r="C77" s="4">
        <f t="shared" si="0"/>
        <v>24.435318275154003</v>
      </c>
      <c r="D77" s="2">
        <v>105.14</v>
      </c>
    </row>
    <row r="78" spans="2:5" x14ac:dyDescent="0.3">
      <c r="B78" s="1">
        <v>41790</v>
      </c>
      <c r="C78" s="4">
        <f t="shared" si="0"/>
        <v>25.451060917180012</v>
      </c>
      <c r="D78" s="2">
        <v>104.87</v>
      </c>
      <c r="E78" s="3">
        <f>AVERAGE(D78:D85)</f>
        <v>104.84500000000001</v>
      </c>
    </row>
    <row r="79" spans="2:5" x14ac:dyDescent="0.3">
      <c r="B79" s="1">
        <v>41804</v>
      </c>
      <c r="C79" s="4">
        <f t="shared" si="0"/>
        <v>25.489390828199863</v>
      </c>
      <c r="D79" s="2">
        <v>104.63</v>
      </c>
    </row>
    <row r="80" spans="2:5" x14ac:dyDescent="0.3">
      <c r="B80" s="1">
        <v>41832</v>
      </c>
      <c r="C80" s="4">
        <f t="shared" si="0"/>
        <v>25.566050650239561</v>
      </c>
      <c r="D80" s="2">
        <v>103.34</v>
      </c>
    </row>
    <row r="81" spans="2:5" x14ac:dyDescent="0.3">
      <c r="B81" s="1">
        <v>41838</v>
      </c>
      <c r="C81" s="4">
        <f t="shared" si="0"/>
        <v>25.582477754962355</v>
      </c>
      <c r="D81" s="2">
        <v>102.98</v>
      </c>
    </row>
    <row r="82" spans="2:5" x14ac:dyDescent="0.3">
      <c r="B82" s="1">
        <v>41849</v>
      </c>
      <c r="C82" s="4">
        <f t="shared" si="0"/>
        <v>25.612594113620808</v>
      </c>
      <c r="D82" s="2">
        <v>106.89</v>
      </c>
    </row>
    <row r="83" spans="2:5" x14ac:dyDescent="0.3">
      <c r="B83" s="1">
        <v>41850</v>
      </c>
      <c r="C83" s="4">
        <f t="shared" si="0"/>
        <v>25.61533196440794</v>
      </c>
      <c r="D83" s="2">
        <v>106.61</v>
      </c>
    </row>
    <row r="84" spans="2:5" x14ac:dyDescent="0.3">
      <c r="B84" s="1">
        <v>41851</v>
      </c>
      <c r="C84" s="4">
        <f t="shared" si="0"/>
        <v>25.618069815195071</v>
      </c>
      <c r="D84" s="2">
        <v>105.48</v>
      </c>
    </row>
    <row r="85" spans="2:5" x14ac:dyDescent="0.3">
      <c r="B85" s="1">
        <v>41879</v>
      </c>
      <c r="C85" s="4">
        <f t="shared" si="0"/>
        <v>25.694729637234772</v>
      </c>
      <c r="D85" s="2">
        <v>103.96</v>
      </c>
    </row>
    <row r="86" spans="2:5" x14ac:dyDescent="0.3">
      <c r="B86" s="1">
        <v>42077</v>
      </c>
      <c r="C86" s="4">
        <f t="shared" si="0"/>
        <v>26.236824093086927</v>
      </c>
      <c r="D86" s="2">
        <v>105.01</v>
      </c>
      <c r="E86" s="3">
        <f>AVERAGE(D86:D96)</f>
        <v>105.25545454545454</v>
      </c>
    </row>
    <row r="87" spans="2:5" x14ac:dyDescent="0.3">
      <c r="B87" s="1">
        <v>42084</v>
      </c>
      <c r="C87" s="4">
        <f t="shared" si="0"/>
        <v>26.255989048596852</v>
      </c>
      <c r="D87" s="2">
        <v>104.94</v>
      </c>
    </row>
    <row r="88" spans="2:5" x14ac:dyDescent="0.3">
      <c r="B88" s="1">
        <v>42168</v>
      </c>
      <c r="C88" s="4">
        <f t="shared" si="0"/>
        <v>26.48596851471595</v>
      </c>
      <c r="D88" s="2">
        <v>103.58</v>
      </c>
    </row>
    <row r="89" spans="2:5" x14ac:dyDescent="0.3">
      <c r="B89" s="1">
        <v>42194</v>
      </c>
      <c r="C89" s="4">
        <f t="shared" si="0"/>
        <v>26.557152635181382</v>
      </c>
      <c r="D89" s="2">
        <v>103.76</v>
      </c>
    </row>
    <row r="90" spans="2:5" x14ac:dyDescent="0.3">
      <c r="B90" s="1">
        <v>42210</v>
      </c>
      <c r="C90" s="4">
        <f t="shared" si="0"/>
        <v>26.600958247775495</v>
      </c>
      <c r="D90" s="2">
        <v>104.67</v>
      </c>
    </row>
    <row r="91" spans="2:5" x14ac:dyDescent="0.3">
      <c r="B91" s="1">
        <v>42216</v>
      </c>
      <c r="C91" s="4">
        <f t="shared" si="0"/>
        <v>26.617385352498289</v>
      </c>
      <c r="D91" s="2">
        <v>104.2</v>
      </c>
    </row>
    <row r="92" spans="2:5" x14ac:dyDescent="0.3">
      <c r="B92" s="1">
        <v>42217</v>
      </c>
      <c r="C92" s="4">
        <f t="shared" si="0"/>
        <v>26.62012320328542</v>
      </c>
      <c r="D92" s="2">
        <v>103.89</v>
      </c>
    </row>
    <row r="93" spans="2:5" x14ac:dyDescent="0.3">
      <c r="B93" s="1">
        <v>42238</v>
      </c>
      <c r="C93" s="4">
        <f t="shared" si="0"/>
        <v>26.677618069815196</v>
      </c>
      <c r="D93" s="2">
        <v>108.31</v>
      </c>
    </row>
    <row r="94" spans="2:5" x14ac:dyDescent="0.3">
      <c r="B94" s="1">
        <v>42239</v>
      </c>
      <c r="C94" s="4">
        <f t="shared" si="0"/>
        <v>26.680355920602327</v>
      </c>
      <c r="D94" s="2">
        <v>107.7</v>
      </c>
    </row>
    <row r="95" spans="2:5" x14ac:dyDescent="0.3">
      <c r="B95" s="1">
        <v>42241</v>
      </c>
      <c r="C95" s="4">
        <f t="shared" si="0"/>
        <v>26.68583162217659</v>
      </c>
      <c r="D95" s="2">
        <v>105.84</v>
      </c>
    </row>
    <row r="96" spans="2:5" x14ac:dyDescent="0.3">
      <c r="B96" s="1">
        <v>42250</v>
      </c>
      <c r="C96" s="4">
        <f t="shared" si="0"/>
        <v>26.710472279260781</v>
      </c>
      <c r="D96" s="2">
        <v>105.91</v>
      </c>
    </row>
    <row r="97" spans="2:5" x14ac:dyDescent="0.3">
      <c r="B97" s="1">
        <v>42434</v>
      </c>
      <c r="C97" s="4">
        <f t="shared" si="0"/>
        <v>27.214236824093089</v>
      </c>
      <c r="D97" s="2">
        <v>104.78</v>
      </c>
      <c r="E97" s="3">
        <f>AVERAGE(D97:D107)</f>
        <v>104.27363636363636</v>
      </c>
    </row>
    <row r="98" spans="2:5" x14ac:dyDescent="0.3">
      <c r="B98" s="1">
        <v>42441</v>
      </c>
      <c r="C98" s="4">
        <f t="shared" si="0"/>
        <v>27.23340177960301</v>
      </c>
      <c r="D98" s="2">
        <v>104.89</v>
      </c>
    </row>
    <row r="99" spans="2:5" x14ac:dyDescent="0.3">
      <c r="B99" s="1">
        <v>42504</v>
      </c>
      <c r="C99" s="4">
        <f t="shared" si="0"/>
        <v>27.405886379192335</v>
      </c>
      <c r="D99" s="2">
        <v>106.24</v>
      </c>
    </row>
    <row r="100" spans="2:5" x14ac:dyDescent="0.3">
      <c r="B100" s="1">
        <v>42537</v>
      </c>
      <c r="C100" s="4">
        <f t="shared" si="0"/>
        <v>27.496235455167692</v>
      </c>
      <c r="D100" s="2">
        <v>105.69</v>
      </c>
    </row>
    <row r="101" spans="2:5" x14ac:dyDescent="0.3">
      <c r="B101" s="1">
        <v>42551</v>
      </c>
      <c r="C101" s="4">
        <f t="shared" si="0"/>
        <v>27.534565366187543</v>
      </c>
      <c r="D101" s="2">
        <v>103.4</v>
      </c>
    </row>
    <row r="102" spans="2:5" x14ac:dyDescent="0.3">
      <c r="B102" s="1">
        <v>42552</v>
      </c>
      <c r="C102" s="4">
        <f t="shared" si="0"/>
        <v>27.537303216974674</v>
      </c>
      <c r="D102" s="2">
        <v>104.23</v>
      </c>
    </row>
    <row r="103" spans="2:5" x14ac:dyDescent="0.3">
      <c r="B103" s="1">
        <v>42569</v>
      </c>
      <c r="C103" s="4">
        <f t="shared" si="0"/>
        <v>27.583846680355922</v>
      </c>
      <c r="D103" s="2">
        <v>103.35</v>
      </c>
    </row>
    <row r="104" spans="2:5" x14ac:dyDescent="0.3">
      <c r="B104" s="1">
        <v>42594</v>
      </c>
      <c r="C104" s="4">
        <f t="shared" si="0"/>
        <v>27.652292950034223</v>
      </c>
      <c r="D104" s="2">
        <v>105.09</v>
      </c>
    </row>
    <row r="105" spans="2:5" x14ac:dyDescent="0.3">
      <c r="B105" s="1">
        <v>42595</v>
      </c>
      <c r="C105" s="4">
        <f t="shared" si="0"/>
        <v>27.655030800821354</v>
      </c>
      <c r="D105" s="2">
        <v>103.88</v>
      </c>
    </row>
    <row r="106" spans="2:5" x14ac:dyDescent="0.3">
      <c r="B106" s="1">
        <v>42597</v>
      </c>
      <c r="C106" s="4">
        <f t="shared" si="0"/>
        <v>27.66050650239562</v>
      </c>
      <c r="D106" s="2">
        <v>102.15</v>
      </c>
    </row>
    <row r="107" spans="2:5" x14ac:dyDescent="0.3">
      <c r="B107" s="1">
        <v>42616</v>
      </c>
      <c r="C107" s="4">
        <f t="shared" si="0"/>
        <v>27.71252566735113</v>
      </c>
      <c r="D107" s="2">
        <v>103.31</v>
      </c>
    </row>
    <row r="108" spans="2:5" x14ac:dyDescent="0.3">
      <c r="B108" s="1">
        <v>42868</v>
      </c>
      <c r="C108" s="4">
        <f t="shared" si="0"/>
        <v>28.402464065708418</v>
      </c>
      <c r="D108" s="2">
        <v>105.36</v>
      </c>
      <c r="E108" s="3">
        <f>AVERAGE(D108:D110)</f>
        <v>105.05333333333333</v>
      </c>
    </row>
    <row r="109" spans="2:5" x14ac:dyDescent="0.3">
      <c r="B109" s="1">
        <v>42896</v>
      </c>
      <c r="C109" s="4">
        <f t="shared" si="0"/>
        <v>28.479123887748116</v>
      </c>
      <c r="D109" s="2">
        <v>104.9</v>
      </c>
    </row>
    <row r="110" spans="2:5" x14ac:dyDescent="0.3">
      <c r="B110" s="1">
        <v>42920</v>
      </c>
      <c r="C110" s="4">
        <f t="shared" si="0"/>
        <v>28.544832306639289</v>
      </c>
      <c r="D110" s="2">
        <v>104.9</v>
      </c>
    </row>
  </sheetData>
  <conditionalFormatting sqref="Z3:AA14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B3:AC1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9D78-9C83-40E7-83E4-4AF27C3C4609}">
  <dimension ref="A1:AF185"/>
  <sheetViews>
    <sheetView tabSelected="1" topLeftCell="Z1" zoomScaleNormal="100" workbookViewId="0">
      <selection activeCell="AF6" sqref="AF6"/>
    </sheetView>
  </sheetViews>
  <sheetFormatPr defaultRowHeight="14.4" x14ac:dyDescent="0.3"/>
  <cols>
    <col min="2" max="2" width="9.88671875" bestFit="1" customWidth="1"/>
    <col min="3" max="3" width="9" bestFit="1" customWidth="1"/>
    <col min="5" max="5" width="13.88671875" bestFit="1" customWidth="1"/>
    <col min="8" max="8" width="11.5546875" bestFit="1" customWidth="1"/>
    <col min="9" max="9" width="12" bestFit="1" customWidth="1"/>
    <col min="11" max="11" width="40.88671875" bestFit="1" customWidth="1"/>
    <col min="15" max="15" width="9.6640625" bestFit="1" customWidth="1"/>
    <col min="16" max="16" width="15.88671875" bestFit="1" customWidth="1"/>
    <col min="17" max="17" width="10.33203125" bestFit="1" customWidth="1"/>
    <col min="18" max="18" width="21" bestFit="1" customWidth="1"/>
    <col min="19" max="19" width="17.44140625" bestFit="1" customWidth="1"/>
    <col min="20" max="20" width="32.5546875" bestFit="1" customWidth="1"/>
    <col min="21" max="21" width="21" bestFit="1" customWidth="1"/>
    <col min="22" max="22" width="17.44140625" bestFit="1" customWidth="1"/>
    <col min="23" max="23" width="32.5546875" bestFit="1" customWidth="1"/>
    <col min="25" max="26" width="20.6640625" bestFit="1" customWidth="1"/>
    <col min="27" max="27" width="17" bestFit="1" customWidth="1"/>
    <col min="28" max="28" width="21" bestFit="1" customWidth="1"/>
    <col min="29" max="29" width="17.44140625" bestFit="1" customWidth="1"/>
    <col min="31" max="31" width="9.88671875" bestFit="1" customWidth="1"/>
    <col min="32" max="32" width="91.88671875" bestFit="1" customWidth="1"/>
  </cols>
  <sheetData>
    <row r="1" spans="1:32" x14ac:dyDescent="0.3">
      <c r="A1" s="1">
        <v>31941</v>
      </c>
      <c r="B1" t="s">
        <v>1</v>
      </c>
      <c r="C1" t="s">
        <v>3</v>
      </c>
      <c r="D1" t="s">
        <v>0</v>
      </c>
      <c r="E1" t="s">
        <v>18</v>
      </c>
      <c r="P1" t="s">
        <v>4</v>
      </c>
      <c r="Q1" t="s">
        <v>5</v>
      </c>
      <c r="R1" t="s">
        <v>21</v>
      </c>
      <c r="S1" t="s">
        <v>22</v>
      </c>
      <c r="T1" t="s">
        <v>6</v>
      </c>
      <c r="U1" t="s">
        <v>23</v>
      </c>
      <c r="V1" t="s">
        <v>24</v>
      </c>
      <c r="W1" t="s">
        <v>6</v>
      </c>
      <c r="Z1" t="s">
        <v>21</v>
      </c>
      <c r="AA1" t="s">
        <v>22</v>
      </c>
      <c r="AB1" t="s">
        <v>23</v>
      </c>
      <c r="AC1" t="s">
        <v>24</v>
      </c>
      <c r="AE1" t="s">
        <v>28</v>
      </c>
      <c r="AF1" t="s">
        <v>31</v>
      </c>
    </row>
    <row r="2" spans="1:32" x14ac:dyDescent="0.3">
      <c r="B2" s="1">
        <v>38129</v>
      </c>
      <c r="C2" s="2">
        <f>(B2-$A$1)/365.25</f>
        <v>16.941820670773442</v>
      </c>
      <c r="D2">
        <v>112.58</v>
      </c>
      <c r="E2">
        <f>AVERAGE(D2:D3)</f>
        <v>112.155</v>
      </c>
      <c r="P2">
        <v>2004</v>
      </c>
      <c r="Q2">
        <v>2</v>
      </c>
      <c r="R2">
        <v>13.0716</v>
      </c>
      <c r="S2">
        <v>13.0716</v>
      </c>
      <c r="T2" s="6">
        <f>S2/R2</f>
        <v>1</v>
      </c>
      <c r="U2">
        <v>12.076000000000001</v>
      </c>
      <c r="V2">
        <v>12.076000000000001</v>
      </c>
      <c r="W2" s="6">
        <f>V2/U2</f>
        <v>1</v>
      </c>
      <c r="Z2">
        <f>LOG(R2)</f>
        <v>1.1163287496801795</v>
      </c>
      <c r="AA2">
        <f>LOG(S2)</f>
        <v>1.1163287496801795</v>
      </c>
      <c r="AB2" s="5">
        <f>LOG(U2)</f>
        <v>1.0819231043510602</v>
      </c>
      <c r="AC2" s="5">
        <f>LOG(V2)</f>
        <v>1.0819231043510602</v>
      </c>
    </row>
    <row r="3" spans="1:32" x14ac:dyDescent="0.3">
      <c r="B3" s="1">
        <v>38151</v>
      </c>
      <c r="C3" s="2">
        <f>(B3-$A$1)/365.25</f>
        <v>17.002053388090349</v>
      </c>
      <c r="D3">
        <v>111.73</v>
      </c>
      <c r="P3">
        <v>2005</v>
      </c>
      <c r="Q3">
        <v>5</v>
      </c>
      <c r="R3">
        <v>0.21629999999999999</v>
      </c>
      <c r="S3">
        <v>19.244</v>
      </c>
      <c r="T3" s="6">
        <f t="shared" ref="T3:T19" si="0">S3/R3</f>
        <v>88.969024503005087</v>
      </c>
      <c r="U3">
        <v>14.501300000000001</v>
      </c>
      <c r="V3">
        <v>46.048000000000002</v>
      </c>
      <c r="W3" s="6">
        <f t="shared" ref="W3:W18" si="1">V3/U3</f>
        <v>3.1754394433602506</v>
      </c>
      <c r="Z3">
        <f>LOG(R3)</f>
        <v>-0.66494348056090857</v>
      </c>
      <c r="AA3">
        <f t="shared" ref="AA3:AA15" si="2">LOG(S3)</f>
        <v>1.2842953482305266</v>
      </c>
      <c r="AB3" s="5">
        <f t="shared" ref="AB3:AC10" si="3">LOG(U3)</f>
        <v>1.1614069372362923</v>
      </c>
      <c r="AC3" s="5">
        <f t="shared" si="3"/>
        <v>1.6632107722565113</v>
      </c>
    </row>
    <row r="4" spans="1:32" x14ac:dyDescent="0.3">
      <c r="B4" s="1">
        <v>38501</v>
      </c>
      <c r="C4" s="2">
        <f t="shared" ref="C4:C151" si="4">(B4-$A$1)/365.25</f>
        <v>17.960301163586585</v>
      </c>
      <c r="D4">
        <v>110.46</v>
      </c>
      <c r="E4">
        <f>AVERAGE(D4:D6)</f>
        <v>109.72333333333334</v>
      </c>
      <c r="P4">
        <v>2006</v>
      </c>
      <c r="Q4">
        <v>12</v>
      </c>
      <c r="R4">
        <v>2.5287999999999999</v>
      </c>
      <c r="S4">
        <v>2.2704</v>
      </c>
      <c r="T4" s="6">
        <f t="shared" si="0"/>
        <v>0.89781714647263522</v>
      </c>
      <c r="U4">
        <v>0.63</v>
      </c>
      <c r="V4" s="5">
        <v>8.51</v>
      </c>
      <c r="W4" s="6">
        <f t="shared" si="1"/>
        <v>13.507936507936508</v>
      </c>
      <c r="Z4">
        <f t="shared" ref="Z4:Z15" si="5">LOG(R4)</f>
        <v>0.40291448283152331</v>
      </c>
      <c r="AA4">
        <f t="shared" si="2"/>
        <v>0.35610237811339879</v>
      </c>
      <c r="AB4" s="5">
        <f t="shared" si="3"/>
        <v>-0.20065945054641829</v>
      </c>
      <c r="AC4" s="5">
        <f t="shared" si="3"/>
        <v>0.92992956008458783</v>
      </c>
    </row>
    <row r="5" spans="1:32" x14ac:dyDescent="0.3">
      <c r="B5" s="1">
        <v>38515</v>
      </c>
      <c r="C5" s="8">
        <f t="shared" si="4"/>
        <v>17.998631074606433</v>
      </c>
      <c r="D5">
        <v>109.85</v>
      </c>
      <c r="P5">
        <v>2007</v>
      </c>
      <c r="Q5">
        <v>26</v>
      </c>
      <c r="R5">
        <v>0.1164</v>
      </c>
      <c r="S5">
        <v>9.6299999999999997E-2</v>
      </c>
      <c r="T5" s="6">
        <f t="shared" si="0"/>
        <v>0.82731958762886593</v>
      </c>
      <c r="U5" s="5">
        <v>2.8576000000000001</v>
      </c>
      <c r="V5" s="5">
        <v>4.3418999999999999</v>
      </c>
      <c r="W5" s="6">
        <f t="shared" si="1"/>
        <v>1.5194218924972003</v>
      </c>
      <c r="Z5">
        <f t="shared" si="5"/>
        <v>-0.93404701968613035</v>
      </c>
      <c r="AA5">
        <f t="shared" si="2"/>
        <v>-1.0163737128754655</v>
      </c>
      <c r="AB5" s="5">
        <f t="shared" si="3"/>
        <v>0.45600143720845243</v>
      </c>
      <c r="AC5" s="5">
        <f t="shared" si="3"/>
        <v>0.63767981682722052</v>
      </c>
    </row>
    <row r="6" spans="1:32" x14ac:dyDescent="0.3">
      <c r="B6" s="1">
        <v>38539</v>
      </c>
      <c r="C6" s="2">
        <f t="shared" si="4"/>
        <v>18.064339493497606</v>
      </c>
      <c r="D6">
        <v>108.86</v>
      </c>
      <c r="P6">
        <v>2008</v>
      </c>
      <c r="Q6">
        <v>40</v>
      </c>
      <c r="R6">
        <v>0.38200000000000001</v>
      </c>
      <c r="S6">
        <v>0.28999999999999998</v>
      </c>
      <c r="T6" s="6">
        <f t="shared" si="0"/>
        <v>0.75916230366492143</v>
      </c>
      <c r="U6" s="5">
        <v>0.57099999999999995</v>
      </c>
      <c r="V6" s="5">
        <v>3.7292000000000001</v>
      </c>
      <c r="W6" s="6">
        <f t="shared" si="1"/>
        <v>6.5309982486865152</v>
      </c>
      <c r="Z6">
        <f t="shared" si="5"/>
        <v>-0.41793663708829126</v>
      </c>
      <c r="AA6">
        <f t="shared" si="2"/>
        <v>-0.53760200210104392</v>
      </c>
      <c r="AB6" s="5">
        <f t="shared" si="3"/>
        <v>-0.24336389175415199</v>
      </c>
      <c r="AC6" s="5">
        <f t="shared" si="3"/>
        <v>0.57161567554880588</v>
      </c>
    </row>
    <row r="7" spans="1:32" x14ac:dyDescent="0.3">
      <c r="B7" s="1">
        <v>38869</v>
      </c>
      <c r="C7" s="2">
        <f t="shared" si="4"/>
        <v>18.967830253251197</v>
      </c>
      <c r="D7">
        <v>108.81</v>
      </c>
      <c r="E7">
        <f>AVERAGE(D7:D13)</f>
        <v>108.62142857142858</v>
      </c>
      <c r="P7">
        <v>2009</v>
      </c>
      <c r="Q7">
        <v>57</v>
      </c>
      <c r="R7">
        <v>0.4748</v>
      </c>
      <c r="S7">
        <v>0.2853</v>
      </c>
      <c r="T7" s="6">
        <f t="shared" si="0"/>
        <v>0.60088458298230829</v>
      </c>
      <c r="U7" s="5">
        <v>1.34</v>
      </c>
      <c r="V7" s="5">
        <v>1.1433</v>
      </c>
      <c r="W7" s="6">
        <f t="shared" si="1"/>
        <v>0.85320895522388052</v>
      </c>
      <c r="Z7">
        <f t="shared" si="5"/>
        <v>-0.32348928971744639</v>
      </c>
      <c r="AA7">
        <f t="shared" si="2"/>
        <v>-0.54469822834292358</v>
      </c>
      <c r="AB7" s="5">
        <f t="shared" si="3"/>
        <v>0.12710479836480765</v>
      </c>
      <c r="AC7" s="5">
        <f t="shared" si="3"/>
        <v>5.8160203491829633E-2</v>
      </c>
    </row>
    <row r="8" spans="1:32" x14ac:dyDescent="0.3">
      <c r="B8" s="1">
        <v>38878</v>
      </c>
      <c r="C8" s="2">
        <f t="shared" si="4"/>
        <v>18.992470910335388</v>
      </c>
      <c r="D8">
        <v>108.09</v>
      </c>
      <c r="P8">
        <v>2010</v>
      </c>
      <c r="R8">
        <v>0.35199999999999998</v>
      </c>
      <c r="S8">
        <v>0.38040000000000002</v>
      </c>
      <c r="T8" s="6">
        <f t="shared" si="0"/>
        <v>1.0806818181818183</v>
      </c>
      <c r="U8" s="5">
        <v>0.75600000000000001</v>
      </c>
      <c r="V8" s="5">
        <v>1.4536</v>
      </c>
      <c r="W8" s="6">
        <f t="shared" si="1"/>
        <v>1.9227513227513227</v>
      </c>
      <c r="Z8">
        <f t="shared" si="5"/>
        <v>-0.45345733652186898</v>
      </c>
      <c r="AA8">
        <f t="shared" si="2"/>
        <v>-0.41975949173462368</v>
      </c>
      <c r="AB8" s="5">
        <f t="shared" si="3"/>
        <v>-0.12147820449879346</v>
      </c>
      <c r="AC8" s="5">
        <f t="shared" si="3"/>
        <v>0.1624449142999779</v>
      </c>
    </row>
    <row r="9" spans="1:32" x14ac:dyDescent="0.3">
      <c r="B9" s="1">
        <v>38892</v>
      </c>
      <c r="C9" s="2">
        <f t="shared" si="4"/>
        <v>19.030800821355236</v>
      </c>
      <c r="D9">
        <v>106.69</v>
      </c>
      <c r="P9">
        <v>2011</v>
      </c>
      <c r="R9">
        <v>0.68230000000000002</v>
      </c>
      <c r="S9">
        <v>0.29139999999999999</v>
      </c>
      <c r="T9" s="6">
        <f t="shared" si="0"/>
        <v>0.42708486003224388</v>
      </c>
      <c r="U9" s="5">
        <v>0.41749999999999998</v>
      </c>
      <c r="V9" s="5">
        <v>0.02</v>
      </c>
      <c r="W9" s="6">
        <f t="shared" si="1"/>
        <v>4.790419161676647E-2</v>
      </c>
      <c r="Z9">
        <f t="shared" si="5"/>
        <v>-0.1660246287200938</v>
      </c>
      <c r="AA9">
        <f t="shared" si="2"/>
        <v>-0.53551045256602869</v>
      </c>
      <c r="AB9" s="5">
        <f t="shared" si="3"/>
        <v>-0.37934352018037915</v>
      </c>
      <c r="AC9" s="5">
        <f t="shared" si="3"/>
        <v>-1.6989700043360187</v>
      </c>
    </row>
    <row r="10" spans="1:32" x14ac:dyDescent="0.3">
      <c r="B10" s="1">
        <v>38907</v>
      </c>
      <c r="C10" s="2">
        <f t="shared" si="4"/>
        <v>19.071868583162217</v>
      </c>
      <c r="D10">
        <v>110.37</v>
      </c>
      <c r="P10">
        <v>2012</v>
      </c>
      <c r="R10">
        <v>0.2792</v>
      </c>
      <c r="S10">
        <v>0.64359999999999995</v>
      </c>
      <c r="T10" s="6">
        <f t="shared" si="0"/>
        <v>2.3051575931232091</v>
      </c>
      <c r="U10" s="5">
        <v>1.0649999999999999</v>
      </c>
      <c r="V10" s="5">
        <v>0.37759999999999999</v>
      </c>
      <c r="W10" s="6">
        <f t="shared" si="1"/>
        <v>0.35455399061032866</v>
      </c>
      <c r="Z10">
        <f t="shared" si="5"/>
        <v>-0.55408458604887656</v>
      </c>
      <c r="AA10">
        <f t="shared" si="2"/>
        <v>-0.1913839645730081</v>
      </c>
      <c r="AB10" s="5">
        <f t="shared" si="3"/>
        <v>2.7349607774756507E-2</v>
      </c>
      <c r="AC10" s="5">
        <f t="shared" si="3"/>
        <v>-0.42296801437396864</v>
      </c>
    </row>
    <row r="11" spans="1:32" x14ac:dyDescent="0.3">
      <c r="B11" s="1">
        <v>38944</v>
      </c>
      <c r="C11" s="2">
        <f t="shared" si="4"/>
        <v>19.173169062286107</v>
      </c>
      <c r="D11">
        <v>110.24</v>
      </c>
      <c r="P11">
        <v>2013</v>
      </c>
      <c r="R11">
        <v>0.2175</v>
      </c>
      <c r="S11">
        <v>0.1525</v>
      </c>
      <c r="T11" s="6">
        <f t="shared" si="0"/>
        <v>0.70114942528735635</v>
      </c>
      <c r="U11" s="5">
        <v>1.55E-2</v>
      </c>
      <c r="V11" s="5">
        <v>0.75590000000000002</v>
      </c>
      <c r="W11" s="6">
        <f t="shared" si="1"/>
        <v>48.767741935483869</v>
      </c>
      <c r="Z11">
        <f t="shared" si="5"/>
        <v>-0.66254073870934382</v>
      </c>
      <c r="AA11">
        <f t="shared" si="2"/>
        <v>-0.81673015631719537</v>
      </c>
      <c r="AB11" s="5">
        <f>LOG(U11)</f>
        <v>-1.8096683018297086</v>
      </c>
      <c r="AC11" s="5">
        <f>LOG(V11)</f>
        <v>-0.12153565465853108</v>
      </c>
    </row>
    <row r="12" spans="1:32" x14ac:dyDescent="0.3">
      <c r="B12" s="1">
        <v>38945</v>
      </c>
      <c r="C12" s="2">
        <f t="shared" si="4"/>
        <v>19.175906913073238</v>
      </c>
      <c r="D12">
        <v>107.9</v>
      </c>
      <c r="P12">
        <v>2014</v>
      </c>
      <c r="R12">
        <v>0.41760000000000003</v>
      </c>
      <c r="S12">
        <v>0.8024</v>
      </c>
      <c r="T12" s="6">
        <f t="shared" si="0"/>
        <v>1.9214559386973178</v>
      </c>
      <c r="U12" s="5">
        <v>0.78920000000000001</v>
      </c>
      <c r="V12" s="5">
        <v>0.79120000000000001</v>
      </c>
      <c r="W12" s="6">
        <f t="shared" si="1"/>
        <v>1.0025342118601115</v>
      </c>
      <c r="Z12">
        <f t="shared" si="5"/>
        <v>-0.37923951000579426</v>
      </c>
      <c r="AA12">
        <f t="shared" si="2"/>
        <v>-9.560907998763829E-2</v>
      </c>
      <c r="AB12" s="5">
        <f t="shared" ref="AB12:AC15" si="6">LOG(U12)</f>
        <v>-0.10281292341984642</v>
      </c>
      <c r="AC12" s="5">
        <f t="shared" si="6"/>
        <v>-0.10171372141087701</v>
      </c>
    </row>
    <row r="13" spans="1:32" x14ac:dyDescent="0.3">
      <c r="B13" s="1">
        <v>38947</v>
      </c>
      <c r="C13" s="2">
        <f t="shared" si="4"/>
        <v>19.1813826146475</v>
      </c>
      <c r="D13">
        <v>108.25</v>
      </c>
      <c r="P13">
        <v>2015</v>
      </c>
      <c r="R13">
        <v>0.25790000000000002</v>
      </c>
      <c r="S13">
        <v>0.4506</v>
      </c>
      <c r="T13" s="6">
        <f t="shared" si="0"/>
        <v>1.7471888328809615</v>
      </c>
      <c r="U13" s="5">
        <v>0.4173</v>
      </c>
      <c r="V13" s="5">
        <v>0.90300000000000002</v>
      </c>
      <c r="W13" s="6">
        <f t="shared" si="1"/>
        <v>2.1639108554996405</v>
      </c>
      <c r="Z13">
        <f t="shared" si="5"/>
        <v>-0.58854865786206245</v>
      </c>
      <c r="AA13">
        <f t="shared" si="2"/>
        <v>-0.346208812612188</v>
      </c>
      <c r="AB13" s="5">
        <f t="shared" si="6"/>
        <v>-0.37955161528829112</v>
      </c>
      <c r="AC13" s="5">
        <f t="shared" si="6"/>
        <v>-4.4312249686494193E-2</v>
      </c>
    </row>
    <row r="14" spans="1:32" x14ac:dyDescent="0.3">
      <c r="B14" s="1">
        <v>39221</v>
      </c>
      <c r="C14" s="2">
        <f t="shared" si="4"/>
        <v>19.931553730321699</v>
      </c>
      <c r="D14">
        <v>109.07</v>
      </c>
      <c r="E14">
        <f>AVERAGE(D14:D27)</f>
        <v>108.59428571428573</v>
      </c>
      <c r="P14">
        <v>2016</v>
      </c>
      <c r="R14">
        <v>0.51200000000000001</v>
      </c>
      <c r="S14">
        <v>9.4399999999999998E-2</v>
      </c>
      <c r="T14" s="6">
        <f t="shared" si="0"/>
        <v>0.18437499999999998</v>
      </c>
      <c r="U14" s="5">
        <v>1.242</v>
      </c>
      <c r="V14" s="5">
        <v>1.837</v>
      </c>
      <c r="W14" s="6">
        <f t="shared" si="1"/>
        <v>1.4790660225442833</v>
      </c>
      <c r="Z14">
        <f t="shared" ref="Z14:Z18" si="7">LOG(R14)</f>
        <v>-0.29073003902416922</v>
      </c>
      <c r="AA14">
        <f t="shared" ref="AA14:AA18" si="8">LOG(S14)</f>
        <v>-1.025028005701931</v>
      </c>
      <c r="AB14" s="5">
        <f t="shared" ref="AB14:AB18" si="9">LOG(U14)</f>
        <v>9.4121595840561387E-2</v>
      </c>
      <c r="AC14" s="5">
        <f t="shared" ref="AC14:AC18" si="10">LOG(V14)</f>
        <v>0.26410915630580833</v>
      </c>
    </row>
    <row r="15" spans="1:32" x14ac:dyDescent="0.3">
      <c r="B15" s="1">
        <v>39228</v>
      </c>
      <c r="C15" s="2">
        <f t="shared" si="4"/>
        <v>19.950718685831621</v>
      </c>
      <c r="D15">
        <v>105.52</v>
      </c>
      <c r="P15">
        <v>2017</v>
      </c>
      <c r="R15">
        <v>0.191</v>
      </c>
      <c r="S15">
        <v>1.23E-2</v>
      </c>
      <c r="T15" s="6">
        <f t="shared" si="0"/>
        <v>6.4397905759162308E-2</v>
      </c>
      <c r="U15" s="5">
        <v>0.56040000000000001</v>
      </c>
      <c r="V15" s="5">
        <v>0.1067</v>
      </c>
      <c r="W15" s="6">
        <f t="shared" si="1"/>
        <v>0.19039971448965026</v>
      </c>
      <c r="Z15">
        <f t="shared" si="7"/>
        <v>-0.71896663275227246</v>
      </c>
      <c r="AA15">
        <f t="shared" si="8"/>
        <v>-1.9100948885606022</v>
      </c>
      <c r="AB15" s="5">
        <f t="shared" si="9"/>
        <v>-0.25150187338626301</v>
      </c>
      <c r="AC15" s="5">
        <f t="shared" si="10"/>
        <v>-0.9718355805755301</v>
      </c>
    </row>
    <row r="16" spans="1:32" x14ac:dyDescent="0.3">
      <c r="B16" s="1">
        <v>39260</v>
      </c>
      <c r="C16" s="2">
        <f t="shared" si="4"/>
        <v>20.038329911019851</v>
      </c>
      <c r="D16">
        <v>106.97</v>
      </c>
      <c r="P16">
        <v>2018</v>
      </c>
      <c r="R16">
        <v>0.52900000000000003</v>
      </c>
      <c r="S16">
        <v>4.2999999999999997E-2</v>
      </c>
      <c r="T16" s="6">
        <f t="shared" si="0"/>
        <v>8.1285444234404522E-2</v>
      </c>
      <c r="U16" s="5">
        <v>0.69079999999999997</v>
      </c>
      <c r="V16" s="5">
        <v>0.7712</v>
      </c>
      <c r="W16" s="6">
        <f t="shared" si="1"/>
        <v>1.1163867979154605</v>
      </c>
      <c r="Z16">
        <f t="shared" si="7"/>
        <v>-0.27654432796481421</v>
      </c>
      <c r="AA16">
        <f t="shared" si="8"/>
        <v>-1.3665315444204136</v>
      </c>
      <c r="AB16" s="5">
        <f t="shared" si="9"/>
        <v>-0.16064767110457884</v>
      </c>
      <c r="AC16" s="5">
        <f t="shared" si="10"/>
        <v>-0.11283297910522565</v>
      </c>
    </row>
    <row r="17" spans="2:29" x14ac:dyDescent="0.3">
      <c r="B17" s="1">
        <v>39264</v>
      </c>
      <c r="C17" s="2">
        <f t="shared" si="4"/>
        <v>20.049281314168379</v>
      </c>
      <c r="D17">
        <v>109.22</v>
      </c>
      <c r="P17">
        <v>2019</v>
      </c>
      <c r="R17">
        <v>7.0800000000000002E-2</v>
      </c>
      <c r="S17">
        <v>1.3801000000000001</v>
      </c>
      <c r="T17" s="6">
        <f t="shared" si="0"/>
        <v>19.492937853107346</v>
      </c>
      <c r="U17" s="5">
        <v>1.5189999999999999</v>
      </c>
      <c r="V17" s="5">
        <v>0.99709999999999999</v>
      </c>
      <c r="W17" s="6">
        <f t="shared" si="1"/>
        <v>0.65641869651086249</v>
      </c>
      <c r="Z17">
        <f t="shared" si="7"/>
        <v>-1.1499667423102309</v>
      </c>
      <c r="AA17">
        <f t="shared" si="8"/>
        <v>0.13991055587568263</v>
      </c>
      <c r="AB17" s="5">
        <f t="shared" si="9"/>
        <v>0.18155777386278632</v>
      </c>
      <c r="AC17" s="5">
        <f t="shared" si="10"/>
        <v>-1.2612837441822772E-3</v>
      </c>
    </row>
    <row r="18" spans="2:29" x14ac:dyDescent="0.3">
      <c r="B18" s="1">
        <v>39275</v>
      </c>
      <c r="C18" s="2">
        <f t="shared" si="4"/>
        <v>20.079397672826833</v>
      </c>
      <c r="D18">
        <v>109.57</v>
      </c>
      <c r="P18">
        <v>2020</v>
      </c>
      <c r="R18">
        <v>0.1832</v>
      </c>
      <c r="S18">
        <v>0.14879999999999999</v>
      </c>
      <c r="T18" s="6">
        <f t="shared" si="0"/>
        <v>0.81222707423580776</v>
      </c>
      <c r="U18" s="5">
        <v>0.85650000000000004</v>
      </c>
      <c r="V18" s="5">
        <v>0.2455</v>
      </c>
      <c r="W18" s="6">
        <f t="shared" si="1"/>
        <v>0.28663164039696437</v>
      </c>
      <c r="Z18">
        <f t="shared" si="7"/>
        <v>-0.73707453066816842</v>
      </c>
      <c r="AA18">
        <f t="shared" si="8"/>
        <v>-0.82739706879014019</v>
      </c>
      <c r="AB18" s="5">
        <f t="shared" si="9"/>
        <v>-6.7272632698470683E-2</v>
      </c>
      <c r="AC18" s="5">
        <f t="shared" si="10"/>
        <v>-0.60994850354101271</v>
      </c>
    </row>
    <row r="19" spans="2:29" x14ac:dyDescent="0.3">
      <c r="B19" s="1">
        <v>39277</v>
      </c>
      <c r="C19" s="2">
        <f t="shared" si="4"/>
        <v>20.084873374401095</v>
      </c>
      <c r="D19">
        <v>109.94</v>
      </c>
      <c r="Y19" t="s">
        <v>25</v>
      </c>
      <c r="Z19">
        <f>AVERAGE(Z2:Z18)</f>
        <v>-0.39990299559580994</v>
      </c>
      <c r="AA19">
        <f t="shared" ref="AA19:AC19" si="11">AVERAGE(AA2:AA18)</f>
        <v>-0.39625237509902439</v>
      </c>
      <c r="AB19">
        <f t="shared" si="11"/>
        <v>-3.4519695886363805E-2</v>
      </c>
      <c r="AC19">
        <f t="shared" si="11"/>
        <v>7.5511483043174135E-2</v>
      </c>
    </row>
    <row r="20" spans="2:29" x14ac:dyDescent="0.3">
      <c r="B20" s="1">
        <v>39284</v>
      </c>
      <c r="C20" s="2">
        <f t="shared" si="4"/>
        <v>20.10403832991102</v>
      </c>
      <c r="D20">
        <v>106.52</v>
      </c>
      <c r="Y20" t="s">
        <v>26</v>
      </c>
      <c r="Z20">
        <f>EXP(Z19)</f>
        <v>0.67038507318623064</v>
      </c>
      <c r="AA20">
        <f t="shared" ref="AA20:AC20" si="12">EXP(AA19)</f>
        <v>0.67283686723702407</v>
      </c>
      <c r="AB20">
        <f t="shared" si="12"/>
        <v>0.96606931190772083</v>
      </c>
      <c r="AC20">
        <f t="shared" si="12"/>
        <v>1.0784356113696363</v>
      </c>
    </row>
    <row r="21" spans="2:29" x14ac:dyDescent="0.3">
      <c r="B21" s="1">
        <v>39291</v>
      </c>
      <c r="C21" s="2">
        <f t="shared" si="4"/>
        <v>20.123203285420946</v>
      </c>
      <c r="D21">
        <v>108.72</v>
      </c>
      <c r="Q21">
        <v>34</v>
      </c>
      <c r="R21">
        <v>34</v>
      </c>
    </row>
    <row r="22" spans="2:29" x14ac:dyDescent="0.3">
      <c r="B22" s="1">
        <v>39305</v>
      </c>
      <c r="C22" s="2">
        <f t="shared" si="4"/>
        <v>20.161533196440793</v>
      </c>
      <c r="D22">
        <v>108.63</v>
      </c>
      <c r="Q22">
        <f>0.0399*Q21^2-2.2067*Q21+136.43</f>
        <v>107.5266</v>
      </c>
      <c r="R22">
        <f>-0.0038*R21^3+0.3288*R21^2-9.3895*R21+194.93</f>
        <v>106.42459999999997</v>
      </c>
      <c r="Y22" t="s">
        <v>27</v>
      </c>
      <c r="Z22">
        <f>AVERAGE(Z3:Z18)</f>
        <v>-0.4946674796755593</v>
      </c>
      <c r="AA22">
        <f t="shared" ref="AA22:AC22" si="13">AVERAGE(AA3:AA18)</f>
        <v>-0.49078869539772463</v>
      </c>
      <c r="AB22">
        <f t="shared" si="13"/>
        <v>-0.10429737090120282</v>
      </c>
      <c r="AC22">
        <f t="shared" si="13"/>
        <v>1.2610756711431297E-2</v>
      </c>
    </row>
    <row r="23" spans="2:29" x14ac:dyDescent="0.3">
      <c r="B23" s="1">
        <v>39307</v>
      </c>
      <c r="C23" s="2">
        <f t="shared" si="4"/>
        <v>20.167008898015059</v>
      </c>
      <c r="D23">
        <v>108.63</v>
      </c>
      <c r="Q23">
        <f>Q22-106.6701</f>
        <v>0.85649999999999693</v>
      </c>
      <c r="R23">
        <f>R22-106.6701</f>
        <v>-0.24550000000003536</v>
      </c>
      <c r="Y23" t="s">
        <v>26</v>
      </c>
      <c r="Z23">
        <f>EXP(Z22)</f>
        <v>0.60977363571596499</v>
      </c>
      <c r="AA23">
        <f t="shared" ref="AA23:AC23" si="14">EXP(AA22)</f>
        <v>0.61214340905590858</v>
      </c>
      <c r="AB23">
        <f t="shared" si="14"/>
        <v>0.90095733908580433</v>
      </c>
      <c r="AC23">
        <f t="shared" si="14"/>
        <v>1.0126906076108972</v>
      </c>
    </row>
    <row r="24" spans="2:29" x14ac:dyDescent="0.3">
      <c r="B24" s="1">
        <v>39308</v>
      </c>
      <c r="C24" s="2">
        <f t="shared" si="4"/>
        <v>20.16974674880219</v>
      </c>
      <c r="D24">
        <v>107.94</v>
      </c>
      <c r="H24" t="s">
        <v>7</v>
      </c>
      <c r="I24" t="s">
        <v>20</v>
      </c>
      <c r="K24" t="s">
        <v>13</v>
      </c>
      <c r="L24" t="s">
        <v>10</v>
      </c>
      <c r="M24" t="s">
        <v>11</v>
      </c>
    </row>
    <row r="25" spans="2:29" x14ac:dyDescent="0.3">
      <c r="B25" s="1">
        <v>39334</v>
      </c>
      <c r="C25" s="2">
        <f t="shared" si="4"/>
        <v>20.240930869267626</v>
      </c>
      <c r="D25">
        <v>112.65</v>
      </c>
      <c r="H25">
        <v>17</v>
      </c>
      <c r="I25" s="6">
        <v>112.155</v>
      </c>
      <c r="K25" t="s">
        <v>8</v>
      </c>
      <c r="L25">
        <f>0.0427*N25^2-2.3947*N25+139.29</f>
        <v>111.90599999999999</v>
      </c>
      <c r="M25">
        <f>-0.005*N25^3+0.4188*N25^2-11.581*N25+212.25</f>
        <v>113.68680000000001</v>
      </c>
      <c r="N25">
        <v>16</v>
      </c>
      <c r="O25" s="4">
        <f>AVERAGE(L25:M25)</f>
        <v>112.79640000000001</v>
      </c>
    </row>
    <row r="26" spans="2:29" x14ac:dyDescent="0.3">
      <c r="B26" s="1">
        <v>39341</v>
      </c>
      <c r="C26" s="2">
        <f t="shared" si="4"/>
        <v>20.260095824777551</v>
      </c>
      <c r="D26">
        <v>107.76</v>
      </c>
      <c r="H26">
        <v>18</v>
      </c>
      <c r="I26" s="6">
        <v>109.72333333333334</v>
      </c>
      <c r="K26" t="s">
        <v>9</v>
      </c>
      <c r="L26">
        <f>0.0427*N26^2-2.3947*N26+139.29</f>
        <v>107.23140000000001</v>
      </c>
      <c r="M26">
        <f>-0.005*N26^3+0.4188*N26^2-11.581*N26+212.25</f>
        <v>106.10880000000003</v>
      </c>
      <c r="N26">
        <v>34</v>
      </c>
      <c r="O26" s="4">
        <f>AVERAGE(L26:M26)</f>
        <v>106.67010000000002</v>
      </c>
    </row>
    <row r="27" spans="2:29" x14ac:dyDescent="0.3">
      <c r="B27" s="1">
        <v>39344</v>
      </c>
      <c r="C27" s="2">
        <f t="shared" si="4"/>
        <v>20.268309377138944</v>
      </c>
      <c r="D27">
        <v>109.18</v>
      </c>
      <c r="H27">
        <v>19</v>
      </c>
      <c r="I27" s="6">
        <v>108.62142857142858</v>
      </c>
    </row>
    <row r="28" spans="2:29" x14ac:dyDescent="0.3">
      <c r="B28" s="1">
        <v>39592</v>
      </c>
      <c r="C28" s="2">
        <f t="shared" si="4"/>
        <v>20.947296372347708</v>
      </c>
      <c r="D28">
        <v>106.62</v>
      </c>
      <c r="E28" s="6">
        <f>AVERAGE(D28:D41)</f>
        <v>107.06571428571429</v>
      </c>
      <c r="H28">
        <v>20</v>
      </c>
      <c r="I28" s="6">
        <v>108.59428571428573</v>
      </c>
    </row>
    <row r="29" spans="2:29" x14ac:dyDescent="0.3">
      <c r="B29" s="1">
        <v>39599</v>
      </c>
      <c r="C29" s="2">
        <f t="shared" si="4"/>
        <v>20.966461327857633</v>
      </c>
      <c r="D29">
        <v>106.85</v>
      </c>
      <c r="H29">
        <v>21</v>
      </c>
      <c r="I29" s="6">
        <v>107.06571428571429</v>
      </c>
    </row>
    <row r="30" spans="2:29" x14ac:dyDescent="0.3">
      <c r="B30" s="1">
        <v>39611</v>
      </c>
      <c r="C30" s="2">
        <f t="shared" si="4"/>
        <v>20.999315537303218</v>
      </c>
      <c r="D30">
        <v>105.9</v>
      </c>
      <c r="H30">
        <v>22</v>
      </c>
      <c r="I30" s="6">
        <v>107.27411764705882</v>
      </c>
    </row>
    <row r="31" spans="2:29" x14ac:dyDescent="0.3">
      <c r="B31" s="1">
        <v>39614</v>
      </c>
      <c r="C31" s="2">
        <f t="shared" si="4"/>
        <v>21.007529089664612</v>
      </c>
      <c r="D31">
        <v>106.14</v>
      </c>
      <c r="H31">
        <v>23</v>
      </c>
      <c r="I31" s="6">
        <v>105.98153846153845</v>
      </c>
    </row>
    <row r="32" spans="2:29" x14ac:dyDescent="0.3">
      <c r="B32" s="1">
        <v>39621</v>
      </c>
      <c r="C32" s="2">
        <f t="shared" si="4"/>
        <v>21.026694045174537</v>
      </c>
      <c r="D32">
        <v>110.13</v>
      </c>
      <c r="H32">
        <v>24</v>
      </c>
      <c r="I32" s="6">
        <v>106.69470588235293</v>
      </c>
    </row>
    <row r="33" spans="2:9" x14ac:dyDescent="0.3">
      <c r="B33" s="1">
        <v>39624</v>
      </c>
      <c r="C33" s="2">
        <f t="shared" si="4"/>
        <v>21.034907597535934</v>
      </c>
      <c r="D33">
        <v>108.53</v>
      </c>
      <c r="H33">
        <v>25</v>
      </c>
      <c r="I33" s="6">
        <v>106.21909090909092</v>
      </c>
    </row>
    <row r="34" spans="2:9" x14ac:dyDescent="0.3">
      <c r="B34" s="1">
        <v>39655</v>
      </c>
      <c r="C34" s="2">
        <f t="shared" si="4"/>
        <v>21.119780971937029</v>
      </c>
      <c r="D34" s="6">
        <v>106.49</v>
      </c>
      <c r="H34">
        <v>26</v>
      </c>
      <c r="I34" s="6">
        <v>105.49083333333333</v>
      </c>
    </row>
    <row r="35" spans="2:9" x14ac:dyDescent="0.3">
      <c r="B35" s="1">
        <v>39680</v>
      </c>
      <c r="C35" s="2">
        <f t="shared" si="4"/>
        <v>21.188227241615333</v>
      </c>
      <c r="D35" s="6">
        <v>105.89</v>
      </c>
      <c r="H35">
        <v>27</v>
      </c>
      <c r="I35" s="6">
        <v>105.89866666666667</v>
      </c>
    </row>
    <row r="36" spans="2:9" x14ac:dyDescent="0.3">
      <c r="B36" s="1">
        <v>39681</v>
      </c>
      <c r="C36" s="2">
        <f t="shared" si="4"/>
        <v>21.190965092402465</v>
      </c>
      <c r="D36" s="6">
        <v>107.24</v>
      </c>
      <c r="H36">
        <v>28</v>
      </c>
      <c r="I36" s="6">
        <v>106.8192857142857</v>
      </c>
    </row>
    <row r="37" spans="2:9" x14ac:dyDescent="0.3">
      <c r="B37" s="1">
        <v>39693</v>
      </c>
      <c r="C37" s="2">
        <f t="shared" si="4"/>
        <v>21.223819301848049</v>
      </c>
      <c r="D37" s="6">
        <v>105.84</v>
      </c>
      <c r="H37">
        <v>29</v>
      </c>
      <c r="I37" s="6">
        <v>106.44822000000001</v>
      </c>
    </row>
    <row r="38" spans="2:9" x14ac:dyDescent="0.3">
      <c r="B38" s="1">
        <v>39698</v>
      </c>
      <c r="C38" s="2">
        <f t="shared" si="4"/>
        <v>21.237508555783709</v>
      </c>
      <c r="D38" s="6">
        <v>105.97</v>
      </c>
      <c r="H38">
        <v>30</v>
      </c>
      <c r="I38" s="6">
        <v>105.87111111111112</v>
      </c>
    </row>
    <row r="39" spans="2:9" x14ac:dyDescent="0.3">
      <c r="B39" s="1">
        <v>39701</v>
      </c>
      <c r="C39" s="2">
        <f t="shared" si="4"/>
        <v>21.245722108145106</v>
      </c>
      <c r="D39" s="6">
        <v>106.4</v>
      </c>
      <c r="H39">
        <v>31</v>
      </c>
      <c r="I39" s="6">
        <v>106.43111111111112</v>
      </c>
    </row>
    <row r="40" spans="2:9" x14ac:dyDescent="0.3">
      <c r="B40" s="1">
        <v>39704</v>
      </c>
      <c r="C40" s="2">
        <f t="shared" si="4"/>
        <v>21.253935660506503</v>
      </c>
      <c r="D40" s="6">
        <v>109.4</v>
      </c>
      <c r="H40">
        <v>32</v>
      </c>
      <c r="I40" s="6">
        <v>106.48800000000001</v>
      </c>
    </row>
    <row r="41" spans="2:9" x14ac:dyDescent="0.3">
      <c r="B41" s="1">
        <v>39708</v>
      </c>
      <c r="C41" s="2">
        <f t="shared" si="4"/>
        <v>21.264887063655031</v>
      </c>
      <c r="D41" s="6">
        <v>107.52</v>
      </c>
      <c r="H41">
        <v>33</v>
      </c>
      <c r="I41">
        <v>105.78</v>
      </c>
    </row>
    <row r="42" spans="2:9" x14ac:dyDescent="0.3">
      <c r="B42" s="1">
        <v>39965</v>
      </c>
      <c r="C42" s="2">
        <f t="shared" si="4"/>
        <v>21.968514715947983</v>
      </c>
      <c r="D42" s="6">
        <v>105.03</v>
      </c>
      <c r="E42" s="6">
        <f>AVERAGE(D42:D58)</f>
        <v>107.27411764705882</v>
      </c>
    </row>
    <row r="43" spans="2:9" x14ac:dyDescent="0.3">
      <c r="B43" s="1">
        <v>39971</v>
      </c>
      <c r="C43" s="2">
        <f t="shared" si="4"/>
        <v>21.984941820670773</v>
      </c>
      <c r="D43" s="6">
        <v>106.19</v>
      </c>
    </row>
    <row r="44" spans="2:9" x14ac:dyDescent="0.3">
      <c r="B44" s="1">
        <v>39974</v>
      </c>
      <c r="C44" s="2">
        <f t="shared" si="4"/>
        <v>21.99315537303217</v>
      </c>
      <c r="D44" s="6">
        <v>106.04</v>
      </c>
    </row>
    <row r="45" spans="2:9" x14ac:dyDescent="0.3">
      <c r="B45" s="1">
        <v>39998</v>
      </c>
      <c r="C45" s="2">
        <f t="shared" si="4"/>
        <v>22.05886379192334</v>
      </c>
      <c r="D45" s="6">
        <v>106.98</v>
      </c>
    </row>
    <row r="46" spans="2:9" x14ac:dyDescent="0.3">
      <c r="B46" s="1">
        <v>40001</v>
      </c>
      <c r="C46" s="2">
        <f t="shared" si="4"/>
        <v>22.067077344284737</v>
      </c>
      <c r="D46" s="6">
        <v>105.27</v>
      </c>
    </row>
    <row r="47" spans="2:9" x14ac:dyDescent="0.3">
      <c r="B47" s="1">
        <v>40010</v>
      </c>
      <c r="C47" s="2">
        <f t="shared" si="4"/>
        <v>22.091718001368925</v>
      </c>
      <c r="D47" s="6">
        <v>108.24</v>
      </c>
    </row>
    <row r="48" spans="2:9" x14ac:dyDescent="0.3">
      <c r="B48" s="1">
        <v>40012</v>
      </c>
      <c r="C48" s="2">
        <f t="shared" si="4"/>
        <v>22.097193702943191</v>
      </c>
      <c r="D48" s="6">
        <v>106.52</v>
      </c>
    </row>
    <row r="49" spans="2:5" x14ac:dyDescent="0.3">
      <c r="B49" s="1">
        <v>40022</v>
      </c>
      <c r="C49" s="8">
        <f t="shared" si="4"/>
        <v>22.12457221081451</v>
      </c>
      <c r="D49" s="6">
        <v>103.84</v>
      </c>
    </row>
    <row r="50" spans="2:5" x14ac:dyDescent="0.3">
      <c r="B50" s="1">
        <v>40045</v>
      </c>
      <c r="C50" s="8">
        <f t="shared" si="4"/>
        <v>22.187542778918548</v>
      </c>
      <c r="D50" s="6">
        <v>108.41</v>
      </c>
    </row>
    <row r="51" spans="2:5" x14ac:dyDescent="0.3">
      <c r="B51" s="1">
        <v>40046</v>
      </c>
      <c r="C51" s="8">
        <f t="shared" si="4"/>
        <v>22.190280629705683</v>
      </c>
      <c r="D51" s="6">
        <v>121.62</v>
      </c>
    </row>
    <row r="52" spans="2:5" x14ac:dyDescent="0.3">
      <c r="B52" s="1">
        <v>40048</v>
      </c>
      <c r="C52" s="8">
        <f t="shared" si="4"/>
        <v>22.195756331279945</v>
      </c>
      <c r="D52" s="6">
        <v>106.17</v>
      </c>
    </row>
    <row r="53" spans="2:5" x14ac:dyDescent="0.3">
      <c r="B53" s="1">
        <v>40053</v>
      </c>
      <c r="C53" s="8">
        <f t="shared" si="4"/>
        <v>22.209445585215605</v>
      </c>
      <c r="D53" s="6">
        <v>104.89</v>
      </c>
    </row>
    <row r="54" spans="2:5" x14ac:dyDescent="0.3">
      <c r="B54" s="1">
        <v>40056</v>
      </c>
      <c r="C54" s="8">
        <f t="shared" si="4"/>
        <v>22.217659137577002</v>
      </c>
      <c r="D54" s="6">
        <v>108.37</v>
      </c>
    </row>
    <row r="55" spans="2:5" x14ac:dyDescent="0.3">
      <c r="B55" s="1">
        <v>40060</v>
      </c>
      <c r="C55" s="8">
        <f t="shared" si="4"/>
        <v>22.22861054072553</v>
      </c>
      <c r="D55" s="6">
        <v>107.55</v>
      </c>
    </row>
    <row r="56" spans="2:5" x14ac:dyDescent="0.3">
      <c r="B56" s="1">
        <v>40071</v>
      </c>
      <c r="C56" s="8">
        <f t="shared" si="4"/>
        <v>22.258726899383984</v>
      </c>
      <c r="D56" s="6">
        <v>106.82</v>
      </c>
    </row>
    <row r="57" spans="2:5" x14ac:dyDescent="0.3">
      <c r="B57" s="1">
        <v>40076</v>
      </c>
      <c r="C57" s="8">
        <f t="shared" si="4"/>
        <v>22.272416153319643</v>
      </c>
      <c r="D57" s="6">
        <v>106.12</v>
      </c>
    </row>
    <row r="58" spans="2:5" x14ac:dyDescent="0.3">
      <c r="B58" s="1">
        <v>40081</v>
      </c>
      <c r="C58" s="8">
        <f t="shared" si="4"/>
        <v>22.286105407255306</v>
      </c>
      <c r="D58" s="6">
        <v>105.6</v>
      </c>
    </row>
    <row r="59" spans="2:5" x14ac:dyDescent="0.3">
      <c r="B59" s="1">
        <v>40325</v>
      </c>
      <c r="C59" s="8">
        <f t="shared" si="4"/>
        <v>22.954140999315538</v>
      </c>
      <c r="D59" s="6">
        <v>105.04</v>
      </c>
      <c r="E59" s="6">
        <f>AVERAGE(D59:D71)</f>
        <v>105.98153846153845</v>
      </c>
    </row>
    <row r="60" spans="2:5" x14ac:dyDescent="0.3">
      <c r="B60" s="1">
        <v>40328</v>
      </c>
      <c r="C60" s="8">
        <f t="shared" si="4"/>
        <v>22.962354551676935</v>
      </c>
      <c r="D60" s="6">
        <v>106.23</v>
      </c>
    </row>
    <row r="61" spans="2:5" x14ac:dyDescent="0.3">
      <c r="B61" s="1">
        <v>40333</v>
      </c>
      <c r="C61" s="8">
        <f t="shared" si="4"/>
        <v>22.976043805612594</v>
      </c>
      <c r="D61" s="6">
        <v>104.56</v>
      </c>
    </row>
    <row r="62" spans="2:5" x14ac:dyDescent="0.3">
      <c r="B62" s="1">
        <v>40335</v>
      </c>
      <c r="C62" s="8">
        <f t="shared" si="4"/>
        <v>22.981519507186857</v>
      </c>
      <c r="D62" s="6">
        <v>107.95</v>
      </c>
    </row>
    <row r="63" spans="2:5" x14ac:dyDescent="0.3">
      <c r="B63" s="1">
        <v>40349</v>
      </c>
      <c r="C63" s="8">
        <f t="shared" si="4"/>
        <v>23.019849418206707</v>
      </c>
      <c r="D63" s="6">
        <v>105.74</v>
      </c>
    </row>
    <row r="64" spans="2:5" x14ac:dyDescent="0.3">
      <c r="B64" s="1">
        <v>40367</v>
      </c>
      <c r="C64" s="8">
        <f t="shared" si="4"/>
        <v>23.069130732375086</v>
      </c>
      <c r="D64" s="6">
        <v>104.3</v>
      </c>
    </row>
    <row r="65" spans="2:5" x14ac:dyDescent="0.3">
      <c r="B65" s="1">
        <v>40387</v>
      </c>
      <c r="C65" s="8">
        <f t="shared" si="4"/>
        <v>23.123887748117728</v>
      </c>
      <c r="D65" s="6">
        <v>109.78</v>
      </c>
    </row>
    <row r="66" spans="2:5" x14ac:dyDescent="0.3">
      <c r="B66" s="1">
        <v>40388</v>
      </c>
      <c r="C66" s="8">
        <f t="shared" si="4"/>
        <v>23.126625598904859</v>
      </c>
      <c r="D66" s="6">
        <v>108.15</v>
      </c>
    </row>
    <row r="67" spans="2:5" x14ac:dyDescent="0.3">
      <c r="B67" s="1">
        <v>40390</v>
      </c>
      <c r="C67" s="8">
        <f t="shared" si="4"/>
        <v>23.132101300479125</v>
      </c>
      <c r="D67" s="6">
        <v>107.07</v>
      </c>
    </row>
    <row r="68" spans="2:5" x14ac:dyDescent="0.3">
      <c r="B68" s="1">
        <v>40396</v>
      </c>
      <c r="C68" s="8">
        <f t="shared" si="4"/>
        <v>23.148528405201915</v>
      </c>
      <c r="D68" s="6">
        <v>105.06</v>
      </c>
    </row>
    <row r="69" spans="2:5" x14ac:dyDescent="0.3">
      <c r="B69" s="1">
        <v>40417</v>
      </c>
      <c r="C69" s="8">
        <f t="shared" si="4"/>
        <v>23.206023271731691</v>
      </c>
      <c r="D69" s="6">
        <v>104.97</v>
      </c>
    </row>
    <row r="70" spans="2:5" x14ac:dyDescent="0.3">
      <c r="B70" s="1">
        <v>40419</v>
      </c>
      <c r="C70" s="8">
        <f t="shared" si="4"/>
        <v>23.211498973305954</v>
      </c>
      <c r="D70" s="6">
        <v>104.1</v>
      </c>
    </row>
    <row r="71" spans="2:5" x14ac:dyDescent="0.3">
      <c r="B71" s="1">
        <v>40426</v>
      </c>
      <c r="C71" s="8">
        <f t="shared" si="4"/>
        <v>23.230663928815879</v>
      </c>
      <c r="D71" s="6">
        <v>104.81</v>
      </c>
    </row>
    <row r="72" spans="2:5" x14ac:dyDescent="0.3">
      <c r="B72" s="1">
        <v>40669</v>
      </c>
      <c r="C72" s="8">
        <f t="shared" si="4"/>
        <v>23.89596167008898</v>
      </c>
      <c r="D72" s="6">
        <v>106.42</v>
      </c>
      <c r="E72" s="6">
        <f>AVERAGE(D72:D88)</f>
        <v>106.69470588235293</v>
      </c>
    </row>
    <row r="73" spans="2:5" x14ac:dyDescent="0.3">
      <c r="B73" s="1">
        <v>40692</v>
      </c>
      <c r="C73" s="8">
        <f t="shared" si="4"/>
        <v>23.958932238193018</v>
      </c>
      <c r="D73" s="6">
        <v>105.47</v>
      </c>
    </row>
    <row r="74" spans="2:5" x14ac:dyDescent="0.3">
      <c r="B74" s="1">
        <v>40697</v>
      </c>
      <c r="C74" s="8">
        <f t="shared" si="4"/>
        <v>23.972621492128678</v>
      </c>
      <c r="D74" s="6">
        <v>104.61</v>
      </c>
    </row>
    <row r="75" spans="2:5" x14ac:dyDescent="0.3">
      <c r="B75" s="1">
        <v>40724</v>
      </c>
      <c r="C75" s="8">
        <f t="shared" si="4"/>
        <v>24.046543463381244</v>
      </c>
      <c r="D75" s="6">
        <v>105.01</v>
      </c>
    </row>
    <row r="76" spans="2:5" x14ac:dyDescent="0.3">
      <c r="B76" s="1">
        <v>40734</v>
      </c>
      <c r="C76" s="8">
        <f t="shared" si="4"/>
        <v>24.073921971252567</v>
      </c>
      <c r="D76" s="6">
        <v>105.47</v>
      </c>
    </row>
    <row r="77" spans="2:5" x14ac:dyDescent="0.3">
      <c r="B77" s="1">
        <v>40743</v>
      </c>
      <c r="C77" s="8">
        <f t="shared" si="4"/>
        <v>24.098562628336754</v>
      </c>
      <c r="D77" s="6">
        <v>112.71</v>
      </c>
    </row>
    <row r="78" spans="2:5" x14ac:dyDescent="0.3">
      <c r="B78" s="1">
        <v>40744</v>
      </c>
      <c r="C78" s="8">
        <f t="shared" si="4"/>
        <v>24.101300479123889</v>
      </c>
      <c r="D78" s="6">
        <v>110</v>
      </c>
    </row>
    <row r="79" spans="2:5" x14ac:dyDescent="0.3">
      <c r="B79" s="1">
        <v>40746</v>
      </c>
      <c r="C79" s="8">
        <f t="shared" si="4"/>
        <v>24.106776180698152</v>
      </c>
      <c r="D79" s="6">
        <v>105.77</v>
      </c>
    </row>
    <row r="80" spans="2:5" x14ac:dyDescent="0.3">
      <c r="B80" s="1">
        <v>40766</v>
      </c>
      <c r="C80" s="8">
        <f t="shared" si="4"/>
        <v>24.161533196440793</v>
      </c>
      <c r="D80" s="6">
        <v>112.35</v>
      </c>
    </row>
    <row r="81" spans="2:5" x14ac:dyDescent="0.3">
      <c r="B81" s="1">
        <v>40767</v>
      </c>
      <c r="C81" s="8">
        <f t="shared" si="4"/>
        <v>24.164271047227928</v>
      </c>
      <c r="D81" s="6">
        <v>106.28</v>
      </c>
    </row>
    <row r="82" spans="2:5" x14ac:dyDescent="0.3">
      <c r="B82" s="1">
        <v>40782</v>
      </c>
      <c r="C82" s="8">
        <f t="shared" si="4"/>
        <v>24.205338809034906</v>
      </c>
      <c r="D82" s="6">
        <v>106.73</v>
      </c>
    </row>
    <row r="83" spans="2:5" x14ac:dyDescent="0.3">
      <c r="B83" s="1">
        <v>40783</v>
      </c>
      <c r="C83" s="8">
        <f t="shared" si="4"/>
        <v>24.208076659822041</v>
      </c>
      <c r="D83" s="6">
        <v>104.6</v>
      </c>
    </row>
    <row r="84" spans="2:5" x14ac:dyDescent="0.3">
      <c r="B84" s="1">
        <v>40785</v>
      </c>
      <c r="C84" s="8">
        <f t="shared" si="4"/>
        <v>24.213552361396303</v>
      </c>
      <c r="D84" s="6">
        <v>104.8</v>
      </c>
    </row>
    <row r="85" spans="2:5" x14ac:dyDescent="0.3">
      <c r="B85" s="1">
        <v>40796</v>
      </c>
      <c r="C85" s="8">
        <f t="shared" si="4"/>
        <v>24.243668720054757</v>
      </c>
      <c r="D85" s="6">
        <v>104.53</v>
      </c>
    </row>
    <row r="86" spans="2:5" x14ac:dyDescent="0.3">
      <c r="B86" s="1">
        <v>40802</v>
      </c>
      <c r="C86" s="8">
        <f t="shared" si="4"/>
        <v>24.260095824777551</v>
      </c>
      <c r="D86" s="6">
        <v>104.53</v>
      </c>
    </row>
    <row r="87" spans="2:5" x14ac:dyDescent="0.3">
      <c r="B87" s="1">
        <v>40804</v>
      </c>
      <c r="C87" s="8">
        <f t="shared" si="4"/>
        <v>24.265571526351813</v>
      </c>
      <c r="D87" s="6">
        <v>105.05</v>
      </c>
    </row>
    <row r="88" spans="2:5" x14ac:dyDescent="0.3">
      <c r="B88" s="1">
        <v>40806</v>
      </c>
      <c r="C88" s="8">
        <f t="shared" si="4"/>
        <v>24.271047227926079</v>
      </c>
      <c r="D88" s="6">
        <v>109.48</v>
      </c>
    </row>
    <row r="89" spans="2:5" x14ac:dyDescent="0.3">
      <c r="B89" s="1">
        <v>41048</v>
      </c>
      <c r="C89" s="8">
        <f t="shared" si="4"/>
        <v>24.933607118412045</v>
      </c>
      <c r="D89" s="6">
        <v>108.51</v>
      </c>
      <c r="E89" s="6">
        <f>AVERAGE(D89:D99)</f>
        <v>106.21909090909092</v>
      </c>
    </row>
    <row r="90" spans="2:5" x14ac:dyDescent="0.3">
      <c r="B90" s="1">
        <v>41056</v>
      </c>
      <c r="C90" s="8">
        <f t="shared" si="4"/>
        <v>24.955509924709105</v>
      </c>
      <c r="D90" s="6">
        <v>104.34</v>
      </c>
    </row>
    <row r="91" spans="2:5" x14ac:dyDescent="0.3">
      <c r="B91" s="1">
        <v>41060</v>
      </c>
      <c r="C91" s="8">
        <f t="shared" si="4"/>
        <v>24.966461327857633</v>
      </c>
      <c r="D91" s="6">
        <v>104.64</v>
      </c>
    </row>
    <row r="92" spans="2:5" x14ac:dyDescent="0.3">
      <c r="B92" s="1">
        <v>41063</v>
      </c>
      <c r="C92" s="8">
        <f t="shared" si="4"/>
        <v>24.974674880219027</v>
      </c>
      <c r="D92" s="6">
        <v>106.14</v>
      </c>
    </row>
    <row r="93" spans="2:5" x14ac:dyDescent="0.3">
      <c r="B93" s="1">
        <v>41110</v>
      </c>
      <c r="C93" s="8">
        <f t="shared" si="4"/>
        <v>25.103353867214238</v>
      </c>
      <c r="D93" s="6">
        <v>104.37</v>
      </c>
    </row>
    <row r="94" spans="2:5" x14ac:dyDescent="0.3">
      <c r="B94" s="1">
        <v>41127</v>
      </c>
      <c r="C94" s="8">
        <f t="shared" si="4"/>
        <v>25.149897330595483</v>
      </c>
      <c r="D94" s="6">
        <v>107.64</v>
      </c>
    </row>
    <row r="95" spans="2:5" x14ac:dyDescent="0.3">
      <c r="B95" s="1">
        <v>41128</v>
      </c>
      <c r="C95" s="8">
        <f t="shared" si="4"/>
        <v>25.152635181382614</v>
      </c>
      <c r="D95" s="6">
        <v>105.08</v>
      </c>
    </row>
    <row r="96" spans="2:5" x14ac:dyDescent="0.3">
      <c r="B96" s="1">
        <v>41138</v>
      </c>
      <c r="C96" s="8">
        <f t="shared" si="4"/>
        <v>25.180013689253936</v>
      </c>
      <c r="D96" s="6">
        <v>104.96</v>
      </c>
    </row>
    <row r="97" spans="2:5" x14ac:dyDescent="0.3">
      <c r="B97" s="1">
        <v>41140</v>
      </c>
      <c r="C97" s="8">
        <f t="shared" si="4"/>
        <v>25.185489390828199</v>
      </c>
      <c r="D97" s="6">
        <v>106.48</v>
      </c>
    </row>
    <row r="98" spans="2:5" x14ac:dyDescent="0.3">
      <c r="B98" s="1">
        <v>41142</v>
      </c>
      <c r="C98" s="8">
        <f t="shared" si="4"/>
        <v>25.190965092402465</v>
      </c>
      <c r="D98" s="6">
        <v>107.06</v>
      </c>
    </row>
    <row r="99" spans="2:5" x14ac:dyDescent="0.3">
      <c r="B99" s="1">
        <v>41160</v>
      </c>
      <c r="C99" s="8">
        <f t="shared" si="4"/>
        <v>25.240246406570844</v>
      </c>
      <c r="D99" s="6">
        <v>109.19</v>
      </c>
    </row>
    <row r="100" spans="2:5" x14ac:dyDescent="0.3">
      <c r="B100" s="1">
        <v>41433</v>
      </c>
      <c r="C100" s="8">
        <f t="shared" si="4"/>
        <v>25.987679671457904</v>
      </c>
      <c r="D100" s="6">
        <v>105.5</v>
      </c>
      <c r="E100" s="6">
        <f>AVERAGE(D100:D111)</f>
        <v>105.49083333333333</v>
      </c>
    </row>
    <row r="101" spans="2:5" x14ac:dyDescent="0.3">
      <c r="B101" s="1">
        <v>41459</v>
      </c>
      <c r="C101" s="8">
        <f t="shared" si="4"/>
        <v>26.05886379192334</v>
      </c>
      <c r="D101" s="6">
        <v>104.31</v>
      </c>
    </row>
    <row r="102" spans="2:5" x14ac:dyDescent="0.3">
      <c r="B102" s="1">
        <v>41468</v>
      </c>
      <c r="C102" s="8">
        <f t="shared" si="4"/>
        <v>26.083504449007528</v>
      </c>
      <c r="D102" s="6">
        <v>104.32</v>
      </c>
    </row>
    <row r="103" spans="2:5" x14ac:dyDescent="0.3">
      <c r="B103" s="1">
        <v>41474</v>
      </c>
      <c r="C103" s="8">
        <f t="shared" si="4"/>
        <v>26.099931553730322</v>
      </c>
      <c r="D103" s="6">
        <v>104.2</v>
      </c>
    </row>
    <row r="104" spans="2:5" x14ac:dyDescent="0.3">
      <c r="B104" s="1">
        <v>41496</v>
      </c>
      <c r="C104" s="8">
        <f t="shared" si="4"/>
        <v>26.160164271047229</v>
      </c>
      <c r="D104" s="6">
        <v>107.83</v>
      </c>
    </row>
    <row r="105" spans="2:5" x14ac:dyDescent="0.3">
      <c r="B105" s="1">
        <v>41497</v>
      </c>
      <c r="C105" s="8">
        <f t="shared" si="4"/>
        <v>26.16290212183436</v>
      </c>
      <c r="D105" s="6">
        <v>104.56</v>
      </c>
    </row>
    <row r="106" spans="2:5" x14ac:dyDescent="0.3">
      <c r="B106" s="1">
        <v>41499</v>
      </c>
      <c r="C106" s="8">
        <f t="shared" si="4"/>
        <v>26.168377823408623</v>
      </c>
      <c r="D106" s="6">
        <v>104.08</v>
      </c>
    </row>
    <row r="107" spans="2:5" x14ac:dyDescent="0.3">
      <c r="B107" s="1">
        <v>41511</v>
      </c>
      <c r="C107" s="8">
        <f t="shared" si="4"/>
        <v>26.201232032854211</v>
      </c>
      <c r="D107" s="6">
        <v>104.97</v>
      </c>
    </row>
    <row r="108" spans="2:5" x14ac:dyDescent="0.3">
      <c r="B108" s="1">
        <v>41515</v>
      </c>
      <c r="C108" s="8">
        <f t="shared" si="4"/>
        <v>26.212183436002739</v>
      </c>
      <c r="D108" s="6">
        <v>103.79</v>
      </c>
    </row>
    <row r="109" spans="2:5" x14ac:dyDescent="0.3">
      <c r="B109" s="1">
        <v>41517</v>
      </c>
      <c r="C109" s="8">
        <f t="shared" si="4"/>
        <v>26.217659137577002</v>
      </c>
      <c r="D109" s="6">
        <v>108.45</v>
      </c>
    </row>
    <row r="110" spans="2:5" x14ac:dyDescent="0.3">
      <c r="B110" s="1">
        <v>41523</v>
      </c>
      <c r="C110" s="8">
        <f t="shared" si="4"/>
        <v>26.234086242299796</v>
      </c>
      <c r="D110" s="6">
        <v>103.83</v>
      </c>
    </row>
    <row r="111" spans="2:5" x14ac:dyDescent="0.3">
      <c r="B111" s="1">
        <v>41532</v>
      </c>
      <c r="C111" s="8">
        <f t="shared" si="4"/>
        <v>26.258726899383984</v>
      </c>
      <c r="D111" s="6">
        <v>110.05</v>
      </c>
    </row>
    <row r="112" spans="2:5" x14ac:dyDescent="0.3">
      <c r="B112" s="1">
        <v>41777</v>
      </c>
      <c r="C112" s="8">
        <f t="shared" si="4"/>
        <v>26.92950034223135</v>
      </c>
      <c r="D112" s="6">
        <v>105.92</v>
      </c>
      <c r="E112" s="6">
        <f>AVERAGE(D112:D126)</f>
        <v>105.89866666666667</v>
      </c>
    </row>
    <row r="113" spans="2:5" x14ac:dyDescent="0.3">
      <c r="B113" s="1">
        <v>41790</v>
      </c>
      <c r="C113" s="8">
        <f t="shared" si="4"/>
        <v>26.965092402464066</v>
      </c>
      <c r="D113" s="6">
        <v>104.79</v>
      </c>
    </row>
    <row r="114" spans="2:5" x14ac:dyDescent="0.3">
      <c r="B114" s="1">
        <v>41795</v>
      </c>
      <c r="C114" s="8">
        <f t="shared" si="4"/>
        <v>26.978781656399725</v>
      </c>
      <c r="D114" s="6">
        <v>104.6</v>
      </c>
    </row>
    <row r="115" spans="2:5" x14ac:dyDescent="0.3">
      <c r="B115" s="1">
        <v>41797</v>
      </c>
      <c r="C115" s="8">
        <f t="shared" si="4"/>
        <v>26.984257357973991</v>
      </c>
      <c r="D115" s="6">
        <v>105.9</v>
      </c>
    </row>
    <row r="116" spans="2:5" x14ac:dyDescent="0.3">
      <c r="B116" s="1">
        <v>41804</v>
      </c>
      <c r="C116" s="8">
        <f t="shared" si="4"/>
        <v>27.003422313483917</v>
      </c>
      <c r="D116" s="6">
        <v>105.23</v>
      </c>
    </row>
    <row r="117" spans="2:5" x14ac:dyDescent="0.3">
      <c r="B117" s="1">
        <v>41825</v>
      </c>
      <c r="C117" s="8">
        <f t="shared" si="4"/>
        <v>27.060917180013689</v>
      </c>
      <c r="D117" s="6">
        <v>104.49</v>
      </c>
    </row>
    <row r="118" spans="2:5" x14ac:dyDescent="0.3">
      <c r="B118" s="1">
        <v>41838</v>
      </c>
      <c r="C118" s="8">
        <f t="shared" si="4"/>
        <v>27.096509240246405</v>
      </c>
      <c r="D118" s="6">
        <v>104.24</v>
      </c>
    </row>
    <row r="119" spans="2:5" x14ac:dyDescent="0.3">
      <c r="B119" s="1">
        <v>41849</v>
      </c>
      <c r="C119" s="8">
        <f t="shared" si="4"/>
        <v>27.126625598904859</v>
      </c>
      <c r="D119" s="6">
        <v>110.67</v>
      </c>
    </row>
    <row r="120" spans="2:5" x14ac:dyDescent="0.3">
      <c r="B120" s="1">
        <v>41850</v>
      </c>
      <c r="C120" s="8">
        <f t="shared" si="4"/>
        <v>27.129363449691994</v>
      </c>
      <c r="D120" s="6">
        <v>107.35</v>
      </c>
    </row>
    <row r="121" spans="2:5" x14ac:dyDescent="0.3">
      <c r="B121" s="1">
        <v>41863</v>
      </c>
      <c r="C121" s="8">
        <f t="shared" si="4"/>
        <v>27.16495550992471</v>
      </c>
      <c r="D121" s="6">
        <v>107.83</v>
      </c>
    </row>
    <row r="122" spans="2:5" x14ac:dyDescent="0.3">
      <c r="B122" s="1">
        <v>41864</v>
      </c>
      <c r="C122" s="8">
        <f t="shared" si="4"/>
        <v>27.167693360711841</v>
      </c>
      <c r="D122" s="6">
        <v>107.14</v>
      </c>
    </row>
    <row r="123" spans="2:5" x14ac:dyDescent="0.3">
      <c r="B123" s="1">
        <v>41866</v>
      </c>
      <c r="C123" s="8">
        <f t="shared" si="4"/>
        <v>27.173169062286107</v>
      </c>
      <c r="D123" s="6">
        <v>105.78</v>
      </c>
    </row>
    <row r="124" spans="2:5" x14ac:dyDescent="0.3">
      <c r="B124" s="1">
        <v>41872</v>
      </c>
      <c r="C124" s="8">
        <f t="shared" si="4"/>
        <v>27.189596167008897</v>
      </c>
      <c r="D124" s="6">
        <v>105.76</v>
      </c>
    </row>
    <row r="125" spans="2:5" x14ac:dyDescent="0.3">
      <c r="B125" s="1">
        <v>41879</v>
      </c>
      <c r="C125" s="8">
        <f t="shared" si="4"/>
        <v>27.208761122518823</v>
      </c>
      <c r="D125" s="6">
        <v>104.75</v>
      </c>
    </row>
    <row r="126" spans="2:5" x14ac:dyDescent="0.3">
      <c r="B126" s="1">
        <v>41882</v>
      </c>
      <c r="C126" s="8">
        <f t="shared" si="4"/>
        <v>27.21697467488022</v>
      </c>
      <c r="D126" s="6">
        <v>104.03</v>
      </c>
    </row>
    <row r="127" spans="2:5" x14ac:dyDescent="0.3">
      <c r="B127" s="1">
        <v>42148</v>
      </c>
      <c r="C127" s="8">
        <f t="shared" si="4"/>
        <v>27.945242984257359</v>
      </c>
      <c r="D127" s="6">
        <v>105.46</v>
      </c>
      <c r="E127" s="6">
        <f>AVERAGE(D127:D140)</f>
        <v>106.8192857142857</v>
      </c>
    </row>
    <row r="128" spans="2:5" x14ac:dyDescent="0.3">
      <c r="B128" s="1">
        <v>42159</v>
      </c>
      <c r="C128" s="8">
        <f t="shared" si="4"/>
        <v>27.975359342915812</v>
      </c>
      <c r="D128" s="6">
        <v>104.25</v>
      </c>
    </row>
    <row r="129" spans="2:5" x14ac:dyDescent="0.3">
      <c r="B129" s="1">
        <v>42162</v>
      </c>
      <c r="C129" s="8">
        <f t="shared" si="4"/>
        <v>27.983572895277206</v>
      </c>
      <c r="D129" s="6">
        <v>107.45</v>
      </c>
    </row>
    <row r="130" spans="2:5" x14ac:dyDescent="0.3">
      <c r="B130" s="1">
        <v>42194</v>
      </c>
      <c r="C130" s="8">
        <f t="shared" si="4"/>
        <v>28.071184120465436</v>
      </c>
      <c r="D130" s="6">
        <v>105.36</v>
      </c>
    </row>
    <row r="131" spans="2:5" x14ac:dyDescent="0.3">
      <c r="B131" s="1">
        <v>42202</v>
      </c>
      <c r="C131" s="8">
        <f t="shared" si="4"/>
        <v>28.093086926762492</v>
      </c>
      <c r="D131" s="6">
        <v>103.72</v>
      </c>
    </row>
    <row r="132" spans="2:5" x14ac:dyDescent="0.3">
      <c r="B132" s="1">
        <v>42204</v>
      </c>
      <c r="C132" s="8">
        <f t="shared" si="4"/>
        <v>28.098562628336754</v>
      </c>
      <c r="D132" s="6">
        <v>111.56</v>
      </c>
    </row>
    <row r="133" spans="2:5" x14ac:dyDescent="0.3">
      <c r="B133" s="1">
        <v>42205</v>
      </c>
      <c r="C133" s="8">
        <f t="shared" si="4"/>
        <v>28.101300479123889</v>
      </c>
      <c r="D133" s="6">
        <v>107.32</v>
      </c>
    </row>
    <row r="134" spans="2:5" x14ac:dyDescent="0.3">
      <c r="B134" s="1">
        <v>42225</v>
      </c>
      <c r="C134" s="8">
        <f t="shared" si="4"/>
        <v>28.156057494866531</v>
      </c>
      <c r="D134" s="6">
        <v>104.97</v>
      </c>
    </row>
    <row r="135" spans="2:5" x14ac:dyDescent="0.3">
      <c r="B135" s="1">
        <v>42238</v>
      </c>
      <c r="C135" s="8">
        <f t="shared" si="4"/>
        <v>28.191649555099247</v>
      </c>
      <c r="D135" s="6">
        <v>106.25</v>
      </c>
    </row>
    <row r="136" spans="2:5" x14ac:dyDescent="0.3">
      <c r="B136" s="1">
        <v>42239</v>
      </c>
      <c r="C136" s="8">
        <f t="shared" si="4"/>
        <v>28.194387405886378</v>
      </c>
      <c r="D136" s="6">
        <v>105.34</v>
      </c>
    </row>
    <row r="137" spans="2:5" x14ac:dyDescent="0.3">
      <c r="B137" s="1">
        <v>42250</v>
      </c>
      <c r="C137" s="8">
        <f t="shared" si="4"/>
        <v>28.224503764544831</v>
      </c>
      <c r="D137" s="6">
        <v>105.91</v>
      </c>
    </row>
    <row r="138" spans="2:5" x14ac:dyDescent="0.3">
      <c r="B138" s="1">
        <v>42281</v>
      </c>
      <c r="C138" s="8">
        <f t="shared" si="4"/>
        <v>28.309377138945926</v>
      </c>
      <c r="D138" s="6">
        <v>112.3</v>
      </c>
    </row>
    <row r="139" spans="2:5" x14ac:dyDescent="0.3">
      <c r="B139" s="1">
        <v>42282</v>
      </c>
      <c r="C139" s="8">
        <f t="shared" si="4"/>
        <v>28.312114989733061</v>
      </c>
      <c r="D139" s="6">
        <v>109.22</v>
      </c>
    </row>
    <row r="140" spans="2:5" x14ac:dyDescent="0.3">
      <c r="B140" s="1">
        <v>42283</v>
      </c>
      <c r="C140" s="8">
        <f t="shared" si="4"/>
        <v>28.314852840520192</v>
      </c>
      <c r="D140" s="6">
        <v>106.36</v>
      </c>
    </row>
    <row r="141" spans="2:5" x14ac:dyDescent="0.3">
      <c r="B141" s="1">
        <v>42512</v>
      </c>
      <c r="C141" s="8">
        <f t="shared" si="4"/>
        <v>28.941820670773442</v>
      </c>
      <c r="D141" s="6">
        <v>105.76</v>
      </c>
      <c r="E141">
        <f>AVERAGE(D141:D155)</f>
        <v>106.44822000000001</v>
      </c>
    </row>
    <row r="142" spans="2:5" x14ac:dyDescent="0.3">
      <c r="B142" s="1">
        <v>42535</v>
      </c>
      <c r="C142" s="8">
        <f t="shared" si="4"/>
        <v>29.00479123887748</v>
      </c>
      <c r="D142" s="6">
        <v>104.91</v>
      </c>
    </row>
    <row r="143" spans="2:5" x14ac:dyDescent="0.3">
      <c r="B143" s="1">
        <v>42539</v>
      </c>
      <c r="C143" s="8">
        <f t="shared" si="4"/>
        <v>29.015742642026009</v>
      </c>
      <c r="D143" s="6">
        <v>105.68</v>
      </c>
    </row>
    <row r="144" spans="2:5" x14ac:dyDescent="0.3">
      <c r="B144" s="1">
        <v>42546</v>
      </c>
      <c r="C144" s="8">
        <f t="shared" si="4"/>
        <v>29.034907597535934</v>
      </c>
      <c r="D144" s="6">
        <v>112.06</v>
      </c>
    </row>
    <row r="145" spans="2:5" x14ac:dyDescent="0.3">
      <c r="B145" s="1">
        <v>42547</v>
      </c>
      <c r="C145" s="8">
        <f t="shared" si="4"/>
        <v>29.037645448323065</v>
      </c>
      <c r="D145" s="6">
        <v>108.3133</v>
      </c>
    </row>
    <row r="146" spans="2:5" x14ac:dyDescent="0.3">
      <c r="B146" s="1">
        <v>42558</v>
      </c>
      <c r="C146" s="8">
        <f t="shared" si="4"/>
        <v>29.067761806981519</v>
      </c>
      <c r="D146" s="6">
        <v>110.32</v>
      </c>
    </row>
    <row r="147" spans="2:5" x14ac:dyDescent="0.3">
      <c r="B147" s="1">
        <v>42559</v>
      </c>
      <c r="C147" s="8">
        <f t="shared" si="4"/>
        <v>29.07049965776865</v>
      </c>
      <c r="D147" s="6">
        <v>107.16</v>
      </c>
    </row>
    <row r="148" spans="2:5" x14ac:dyDescent="0.3">
      <c r="B148" s="1">
        <v>42561</v>
      </c>
      <c r="C148" s="8">
        <f t="shared" si="4"/>
        <v>29.075975359342916</v>
      </c>
      <c r="D148" s="6">
        <v>105.54</v>
      </c>
    </row>
    <row r="149" spans="2:5" x14ac:dyDescent="0.3">
      <c r="B149" s="1">
        <v>42566</v>
      </c>
      <c r="C149" s="8">
        <f t="shared" si="4"/>
        <v>29.089664613278575</v>
      </c>
      <c r="D149" s="6">
        <v>104.59</v>
      </c>
    </row>
    <row r="150" spans="2:5" x14ac:dyDescent="0.3">
      <c r="B150" s="1">
        <v>42582</v>
      </c>
      <c r="C150" s="8">
        <f t="shared" si="4"/>
        <v>29.133470225872689</v>
      </c>
      <c r="D150" s="6">
        <v>108.37</v>
      </c>
    </row>
    <row r="151" spans="2:5" x14ac:dyDescent="0.3">
      <c r="B151" s="1">
        <v>42594</v>
      </c>
      <c r="C151" s="8">
        <f t="shared" si="4"/>
        <v>29.166324435318277</v>
      </c>
      <c r="D151" s="6">
        <v>106.35</v>
      </c>
    </row>
    <row r="152" spans="2:5" x14ac:dyDescent="0.3">
      <c r="B152" s="1">
        <v>42595</v>
      </c>
      <c r="C152" s="8">
        <f t="shared" ref="C152:C185" si="15">(B152-$A$1)/365.25</f>
        <v>29.169062286105408</v>
      </c>
      <c r="D152" s="6">
        <v>104.56</v>
      </c>
    </row>
    <row r="153" spans="2:5" x14ac:dyDescent="0.3">
      <c r="B153" s="1">
        <v>42597</v>
      </c>
      <c r="C153" s="8">
        <f t="shared" si="15"/>
        <v>29.17453798767967</v>
      </c>
      <c r="D153" s="6">
        <v>104.2</v>
      </c>
    </row>
    <row r="154" spans="2:5" x14ac:dyDescent="0.3">
      <c r="B154" s="1">
        <v>42609</v>
      </c>
      <c r="C154" s="8">
        <f t="shared" si="15"/>
        <v>29.207392197125255</v>
      </c>
      <c r="D154" s="6">
        <v>103.73</v>
      </c>
    </row>
    <row r="155" spans="2:5" x14ac:dyDescent="0.3">
      <c r="B155" s="1">
        <v>42616</v>
      </c>
      <c r="C155" s="8">
        <f t="shared" si="15"/>
        <v>29.226557152635181</v>
      </c>
      <c r="D155" s="6">
        <v>105.18</v>
      </c>
    </row>
    <row r="156" spans="2:5" x14ac:dyDescent="0.3">
      <c r="B156" s="1">
        <v>42868</v>
      </c>
      <c r="C156" s="8">
        <f t="shared" si="15"/>
        <v>29.916495550992472</v>
      </c>
      <c r="D156" s="6">
        <v>105.87</v>
      </c>
      <c r="E156" s="6">
        <f>AVERAGE(D156:D164)</f>
        <v>105.87111111111112</v>
      </c>
    </row>
    <row r="157" spans="2:5" x14ac:dyDescent="0.3">
      <c r="B157" s="1">
        <v>42888</v>
      </c>
      <c r="C157" s="8">
        <f t="shared" si="15"/>
        <v>29.971252566735114</v>
      </c>
      <c r="D157" s="6">
        <v>105.76</v>
      </c>
    </row>
    <row r="158" spans="2:5" x14ac:dyDescent="0.3">
      <c r="B158" s="1">
        <v>42894</v>
      </c>
      <c r="C158" s="8">
        <f t="shared" si="15"/>
        <v>29.987679671457904</v>
      </c>
      <c r="D158" s="6">
        <v>106.51</v>
      </c>
    </row>
    <row r="159" spans="2:5" x14ac:dyDescent="0.3">
      <c r="B159" s="1">
        <v>42896</v>
      </c>
      <c r="C159" s="8">
        <f t="shared" si="15"/>
        <v>29.99315537303217</v>
      </c>
      <c r="D159" s="6">
        <v>107.06</v>
      </c>
    </row>
    <row r="160" spans="2:5" x14ac:dyDescent="0.3">
      <c r="B160" s="1">
        <v>42934</v>
      </c>
      <c r="C160" s="8">
        <f t="shared" si="15"/>
        <v>30.097193702943191</v>
      </c>
      <c r="D160" s="6">
        <v>105.44</v>
      </c>
    </row>
    <row r="161" spans="2:5" x14ac:dyDescent="0.3">
      <c r="B161" s="1">
        <v>42952</v>
      </c>
      <c r="C161" s="8">
        <f t="shared" si="15"/>
        <v>30.146475017111566</v>
      </c>
      <c r="D161" s="6">
        <v>106.17</v>
      </c>
    </row>
    <row r="162" spans="2:5" x14ac:dyDescent="0.3">
      <c r="B162" s="1">
        <v>42953</v>
      </c>
      <c r="C162" s="8">
        <f t="shared" si="15"/>
        <v>30.149212867898701</v>
      </c>
      <c r="D162" s="6">
        <v>105.93</v>
      </c>
    </row>
    <row r="163" spans="2:5" x14ac:dyDescent="0.3">
      <c r="B163" s="1">
        <v>42967</v>
      </c>
      <c r="C163" s="8">
        <f t="shared" si="15"/>
        <v>30.187542778918548</v>
      </c>
      <c r="D163" s="6">
        <v>105.33</v>
      </c>
    </row>
    <row r="164" spans="2:5" x14ac:dyDescent="0.3">
      <c r="B164" s="1">
        <v>42979</v>
      </c>
      <c r="C164" s="8">
        <f t="shared" si="15"/>
        <v>30.220396988364133</v>
      </c>
      <c r="D164" s="6">
        <v>104.77</v>
      </c>
    </row>
    <row r="165" spans="2:5" x14ac:dyDescent="0.3">
      <c r="B165" s="1">
        <v>43232</v>
      </c>
      <c r="C165" s="8">
        <f t="shared" si="15"/>
        <v>30.913073237508556</v>
      </c>
      <c r="D165" s="6">
        <v>105.41</v>
      </c>
      <c r="E165" s="6">
        <f>AVERAGE(D165:D173)</f>
        <v>106.43111111111112</v>
      </c>
    </row>
    <row r="166" spans="2:5" x14ac:dyDescent="0.3">
      <c r="B166" s="1">
        <v>43239</v>
      </c>
      <c r="C166" s="8">
        <f t="shared" si="15"/>
        <v>30.932238193018481</v>
      </c>
      <c r="D166" s="6">
        <v>106.11</v>
      </c>
    </row>
    <row r="167" spans="2:5" x14ac:dyDescent="0.3">
      <c r="B167" s="1">
        <v>43301</v>
      </c>
      <c r="C167" s="8">
        <f t="shared" si="15"/>
        <v>31.101984941820671</v>
      </c>
      <c r="D167" s="6">
        <v>104.32</v>
      </c>
    </row>
    <row r="168" spans="2:5" x14ac:dyDescent="0.3">
      <c r="B168" s="1">
        <v>43302</v>
      </c>
      <c r="C168" s="8">
        <f t="shared" si="15"/>
        <v>31.104722792607802</v>
      </c>
      <c r="D168" s="6">
        <v>112.39</v>
      </c>
    </row>
    <row r="169" spans="2:5" x14ac:dyDescent="0.3">
      <c r="B169" s="1">
        <v>43303</v>
      </c>
      <c r="C169" s="8">
        <f t="shared" si="15"/>
        <v>31.107460643394933</v>
      </c>
      <c r="D169" s="6">
        <v>110.27</v>
      </c>
    </row>
    <row r="170" spans="2:5" x14ac:dyDescent="0.3">
      <c r="B170" s="1">
        <v>43330</v>
      </c>
      <c r="C170" s="8">
        <f t="shared" si="15"/>
        <v>31.1813826146475</v>
      </c>
      <c r="D170" s="6">
        <v>104.75</v>
      </c>
    </row>
    <row r="171" spans="2:5" x14ac:dyDescent="0.3">
      <c r="B171" s="1">
        <v>43334</v>
      </c>
      <c r="C171" s="8">
        <f t="shared" si="15"/>
        <v>31.192334017796028</v>
      </c>
      <c r="D171" s="6">
        <v>104.99</v>
      </c>
    </row>
    <row r="172" spans="2:5" x14ac:dyDescent="0.3">
      <c r="B172" s="1">
        <v>43343</v>
      </c>
      <c r="C172" s="8">
        <f t="shared" si="15"/>
        <v>31.21697467488022</v>
      </c>
      <c r="D172" s="6">
        <v>105.21</v>
      </c>
    </row>
    <row r="173" spans="2:5" x14ac:dyDescent="0.3">
      <c r="B173" s="1">
        <v>43347</v>
      </c>
      <c r="C173" s="8">
        <f t="shared" si="15"/>
        <v>31.227926078028748</v>
      </c>
      <c r="D173" s="6">
        <v>104.43</v>
      </c>
    </row>
    <row r="174" spans="2:5" x14ac:dyDescent="0.3">
      <c r="B174" s="1">
        <v>43611</v>
      </c>
      <c r="C174" s="8">
        <f t="shared" si="15"/>
        <v>31.950718685831621</v>
      </c>
      <c r="D174" s="6">
        <v>108.56</v>
      </c>
      <c r="E174" s="6">
        <f>AVERAGE(D174:D183)</f>
        <v>106.48800000000001</v>
      </c>
    </row>
    <row r="175" spans="2:5" x14ac:dyDescent="0.3">
      <c r="B175" s="1">
        <v>43615</v>
      </c>
      <c r="C175" s="8">
        <f t="shared" si="15"/>
        <v>31.961670088980149</v>
      </c>
      <c r="D175" s="6">
        <v>106.79</v>
      </c>
    </row>
    <row r="176" spans="2:5" x14ac:dyDescent="0.3">
      <c r="B176" s="1">
        <v>43622</v>
      </c>
      <c r="C176" s="8">
        <f t="shared" si="15"/>
        <v>31.980835044490075</v>
      </c>
      <c r="D176" s="6">
        <v>105.32</v>
      </c>
    </row>
    <row r="177" spans="2:5" x14ac:dyDescent="0.3">
      <c r="B177" s="1">
        <v>43628</v>
      </c>
      <c r="C177" s="8">
        <f t="shared" si="15"/>
        <v>31.997262149212869</v>
      </c>
      <c r="D177" s="6">
        <v>106.62</v>
      </c>
    </row>
    <row r="178" spans="2:5" x14ac:dyDescent="0.3">
      <c r="B178" s="1">
        <v>43651</v>
      </c>
      <c r="C178" s="8">
        <f t="shared" si="15"/>
        <v>32.060232717316907</v>
      </c>
      <c r="D178" s="6">
        <v>105.23</v>
      </c>
    </row>
    <row r="179" spans="2:5" x14ac:dyDescent="0.3">
      <c r="B179" s="1">
        <v>43666</v>
      </c>
      <c r="C179" s="8">
        <f t="shared" si="15"/>
        <v>32.101300479123886</v>
      </c>
      <c r="D179" s="6">
        <v>103.74</v>
      </c>
    </row>
    <row r="180" spans="2:5" x14ac:dyDescent="0.3">
      <c r="B180" s="1">
        <v>43680</v>
      </c>
      <c r="C180" s="8">
        <f t="shared" si="15"/>
        <v>32.139630390143736</v>
      </c>
      <c r="D180" s="6">
        <v>106.12</v>
      </c>
    </row>
    <row r="181" spans="2:5" x14ac:dyDescent="0.3">
      <c r="B181" s="1">
        <v>43692</v>
      </c>
      <c r="C181" s="8">
        <f t="shared" si="15"/>
        <v>32.172484599589325</v>
      </c>
      <c r="D181" s="6">
        <v>105.09</v>
      </c>
    </row>
    <row r="182" spans="2:5" x14ac:dyDescent="0.3">
      <c r="B182" s="1">
        <v>43711</v>
      </c>
      <c r="C182" s="8">
        <f t="shared" si="15"/>
        <v>32.224503764544835</v>
      </c>
      <c r="D182" s="6">
        <v>105.28</v>
      </c>
    </row>
    <row r="183" spans="2:5" x14ac:dyDescent="0.3">
      <c r="B183" s="1">
        <v>43761</v>
      </c>
      <c r="C183" s="8">
        <f t="shared" si="15"/>
        <v>32.361396303901437</v>
      </c>
      <c r="D183" s="6">
        <v>112.13</v>
      </c>
    </row>
    <row r="184" spans="2:5" x14ac:dyDescent="0.3">
      <c r="B184" s="1">
        <v>44068</v>
      </c>
      <c r="C184" s="8">
        <f t="shared" si="15"/>
        <v>33.201916495550989</v>
      </c>
      <c r="D184" s="6">
        <v>105.79</v>
      </c>
      <c r="E184" s="6">
        <f>AVERAGE(D184:D185)</f>
        <v>105.78</v>
      </c>
    </row>
    <row r="185" spans="2:5" x14ac:dyDescent="0.3">
      <c r="B185" s="1">
        <v>44080</v>
      </c>
      <c r="C185" s="8">
        <f t="shared" si="15"/>
        <v>33.234770704996578</v>
      </c>
      <c r="D185" s="6">
        <v>105.77</v>
      </c>
    </row>
  </sheetData>
  <conditionalFormatting sqref="Z2:AA1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B2:AC1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McBride Analysis</vt:lpstr>
      <vt:lpstr>Rudisha Analysis</vt:lpstr>
      <vt:lpstr>Lewandowski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Larsen</dc:creator>
  <cp:lastModifiedBy>Alec Larsen</cp:lastModifiedBy>
  <dcterms:created xsi:type="dcterms:W3CDTF">2021-01-21T15:30:50Z</dcterms:created>
  <dcterms:modified xsi:type="dcterms:W3CDTF">2021-01-23T21:31:46Z</dcterms:modified>
</cp:coreProperties>
</file>