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Documents\"/>
    </mc:Choice>
  </mc:AlternateContent>
  <xr:revisionPtr revIDLastSave="0" documentId="13_ncr:1_{AAF1CC03-088B-4FD7-AA5E-15FCB00015A0}" xr6:coauthVersionLast="46" xr6:coauthVersionMax="46" xr10:uidLastSave="{00000000-0000-0000-0000-000000000000}"/>
  <bookViews>
    <workbookView xWindow="-108" yWindow="-108" windowWidth="23256" windowHeight="12576" activeTab="1" xr2:uid="{FB4547C9-45BA-4C05-A6A5-53AC410E1A44}"/>
  </bookViews>
  <sheets>
    <sheet name="McBride Analysis" sheetId="1" r:id="rId1"/>
    <sheet name="Rudisha 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2" l="1"/>
  <c r="J37" i="2"/>
  <c r="I37" i="2"/>
  <c r="I38" i="2" s="1"/>
  <c r="K36" i="2"/>
  <c r="J36" i="2"/>
  <c r="I36" i="2"/>
  <c r="C2" i="2"/>
  <c r="S16" i="2"/>
  <c r="R16" i="2"/>
  <c r="Q16" i="2"/>
  <c r="T15" i="2"/>
  <c r="T16" i="2" s="1"/>
  <c r="S15" i="2"/>
  <c r="R15" i="2"/>
  <c r="Q15" i="2"/>
  <c r="W11" i="2"/>
  <c r="T11" i="2"/>
  <c r="W10" i="2"/>
  <c r="T10" i="2"/>
  <c r="W9" i="2"/>
  <c r="T9" i="2"/>
  <c r="W8" i="2"/>
  <c r="T8" i="2"/>
  <c r="W7" i="2"/>
  <c r="T7" i="2"/>
  <c r="W6" i="2"/>
  <c r="R6" i="2"/>
  <c r="T6" i="2" s="1"/>
  <c r="W5" i="2"/>
  <c r="S5" i="2"/>
  <c r="T5" i="2" s="1"/>
  <c r="W4" i="2"/>
  <c r="S4" i="2"/>
  <c r="T4" i="2" s="1"/>
  <c r="R4" i="2"/>
  <c r="W3" i="2"/>
  <c r="S3" i="2"/>
  <c r="T3" i="2" s="1"/>
  <c r="R3" i="2"/>
  <c r="W11" i="1"/>
  <c r="T16" i="1"/>
  <c r="T17" i="1" s="1"/>
  <c r="S16" i="1"/>
  <c r="S17" i="1" s="1"/>
  <c r="T11" i="1"/>
  <c r="R16" i="1"/>
  <c r="R17" i="1" s="1"/>
  <c r="Q16" i="1"/>
  <c r="Q17" i="1" s="1"/>
  <c r="J37" i="1"/>
  <c r="J36" i="1"/>
  <c r="I37" i="1"/>
  <c r="I36" i="1"/>
  <c r="D80" i="1"/>
  <c r="D79" i="1"/>
  <c r="D78" i="1"/>
  <c r="D77" i="1"/>
  <c r="D76" i="1"/>
  <c r="D75" i="1"/>
  <c r="D74" i="1"/>
  <c r="D73" i="1"/>
  <c r="D72" i="1"/>
  <c r="D71" i="1"/>
  <c r="W10" i="1"/>
  <c r="T10" i="1"/>
  <c r="K37" i="1"/>
  <c r="K36" i="1"/>
  <c r="D70" i="1"/>
  <c r="D69" i="1"/>
  <c r="D68" i="1"/>
  <c r="D67" i="1"/>
  <c r="D66" i="1"/>
  <c r="D65" i="1"/>
  <c r="D64" i="1"/>
  <c r="D63" i="1"/>
  <c r="T9" i="1"/>
  <c r="W9" i="1"/>
  <c r="W8" i="1"/>
  <c r="W7" i="1"/>
  <c r="W6" i="1"/>
  <c r="W5" i="1"/>
  <c r="W4" i="1"/>
  <c r="W3" i="1"/>
  <c r="T8" i="1"/>
  <c r="D61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T7" i="1"/>
  <c r="S5" i="1"/>
  <c r="T5" i="1" s="1"/>
  <c r="S4" i="1"/>
  <c r="S3" i="1"/>
  <c r="R6" i="1"/>
  <c r="T6" i="1" s="1"/>
  <c r="R4" i="1"/>
  <c r="R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9" i="1"/>
  <c r="D18" i="1"/>
  <c r="D17" i="1"/>
  <c r="D16" i="1"/>
  <c r="D15" i="1"/>
  <c r="D13" i="1"/>
  <c r="D12" i="1"/>
  <c r="D11" i="1"/>
  <c r="D8" i="1"/>
  <c r="D4" i="1"/>
  <c r="D14" i="1"/>
  <c r="D10" i="1"/>
  <c r="D9" i="1"/>
  <c r="D2" i="1"/>
  <c r="D3" i="1"/>
  <c r="D6" i="1"/>
  <c r="D7" i="1"/>
  <c r="D5" i="1"/>
  <c r="T3" i="1" l="1"/>
  <c r="T4" i="1"/>
  <c r="I38" i="1"/>
</calcChain>
</file>

<file path=xl/sharedStrings.xml><?xml version="1.0" encoding="utf-8"?>
<sst xmlns="http://schemas.openxmlformats.org/spreadsheetml/2006/main" count="43" uniqueCount="21">
  <si>
    <t>Time</t>
  </si>
  <si>
    <t>Date</t>
  </si>
  <si>
    <t>McBride</t>
  </si>
  <si>
    <t>Age</t>
  </si>
  <si>
    <t>Last Year Included</t>
  </si>
  <si>
    <t>Quadratic Deviation (22)</t>
  </si>
  <si>
    <t>Cubic Deviation (22)</t>
  </si>
  <si>
    <t>Data Points</t>
  </si>
  <si>
    <t>Factor of Superior Accuracy (Q over C)</t>
  </si>
  <si>
    <t>Age (Turning)</t>
  </si>
  <si>
    <t>Generalized Algorithm Prediction (Interpolation)</t>
  </si>
  <si>
    <t>Generalized Algorithm Prediction (Extrapolation)</t>
  </si>
  <si>
    <t>Quadratic</t>
  </si>
  <si>
    <t>Cubic</t>
  </si>
  <si>
    <t>Quartic</t>
  </si>
  <si>
    <t>Quadratic Deviation (29)</t>
  </si>
  <si>
    <t>Cubic Deviation (29)</t>
  </si>
  <si>
    <t>Year: 2016</t>
  </si>
  <si>
    <t>Year: 2023</t>
  </si>
  <si>
    <t>#Birthday</t>
  </si>
  <si>
    <t>Data up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</si>
</sst>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  <xf numFmtId="0" fontId="0" fillId="0" borderId="0" xfId="0" applyNumberForma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1447944006998"/>
          <c:y val="0.16708333333333336"/>
          <c:w val="0.8345855205599299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'McBride Analysis'!$E$1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53459744984904"/>
                  <c:y val="0.10319736074657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1008092738407699"/>
                  <c:y val="-0.71155183727034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Analysis'!$D$2:$D$80</c:f>
              <c:numCache>
                <c:formatCode>General</c:formatCode>
                <c:ptCount val="79"/>
                <c:pt idx="0">
                  <c:v>16.930869267624914</c:v>
                </c:pt>
                <c:pt idx="1">
                  <c:v>16.991101984941821</c:v>
                </c:pt>
                <c:pt idx="2">
                  <c:v>17.056810403832991</c:v>
                </c:pt>
                <c:pt idx="3">
                  <c:v>17.059548254620122</c:v>
                </c:pt>
                <c:pt idx="4">
                  <c:v>17.103353867214238</c:v>
                </c:pt>
                <c:pt idx="5">
                  <c:v>17.144421629021217</c:v>
                </c:pt>
                <c:pt idx="6">
                  <c:v>17.94113620807666</c:v>
                </c:pt>
                <c:pt idx="7">
                  <c:v>17.946611909650922</c:v>
                </c:pt>
                <c:pt idx="8">
                  <c:v>17.984941820670773</c:v>
                </c:pt>
                <c:pt idx="9">
                  <c:v>17.984941820670773</c:v>
                </c:pt>
                <c:pt idx="10">
                  <c:v>18.078028747433265</c:v>
                </c:pt>
                <c:pt idx="11">
                  <c:v>18.080766598220396</c:v>
                </c:pt>
                <c:pt idx="12">
                  <c:v>18.083504449007528</c:v>
                </c:pt>
                <c:pt idx="13">
                  <c:v>18.902121834360027</c:v>
                </c:pt>
                <c:pt idx="14">
                  <c:v>18.937713894592743</c:v>
                </c:pt>
                <c:pt idx="15">
                  <c:v>19.09924709103354</c:v>
                </c:pt>
                <c:pt idx="16">
                  <c:v>19.162217659137578</c:v>
                </c:pt>
                <c:pt idx="17">
                  <c:v>19.170431211498972</c:v>
                </c:pt>
                <c:pt idx="18">
                  <c:v>19.843942505133469</c:v>
                </c:pt>
                <c:pt idx="19">
                  <c:v>19.917864476386036</c:v>
                </c:pt>
                <c:pt idx="20">
                  <c:v>19.923340177960302</c:v>
                </c:pt>
                <c:pt idx="21">
                  <c:v>19.953456536618756</c:v>
                </c:pt>
                <c:pt idx="22">
                  <c:v>19.956194387405887</c:v>
                </c:pt>
                <c:pt idx="23">
                  <c:v>19.989048596851472</c:v>
                </c:pt>
                <c:pt idx="24">
                  <c:v>19.994524298425734</c:v>
                </c:pt>
                <c:pt idx="25">
                  <c:v>20.035592060232716</c:v>
                </c:pt>
                <c:pt idx="26">
                  <c:v>20.038329911019851</c:v>
                </c:pt>
                <c:pt idx="27">
                  <c:v>20.120465434633811</c:v>
                </c:pt>
                <c:pt idx="28">
                  <c:v>20.840520191649556</c:v>
                </c:pt>
                <c:pt idx="29">
                  <c:v>20.914442162902123</c:v>
                </c:pt>
                <c:pt idx="30">
                  <c:v>20.917180013689254</c:v>
                </c:pt>
                <c:pt idx="31">
                  <c:v>20.950034223134839</c:v>
                </c:pt>
                <c:pt idx="32">
                  <c:v>20.95277207392197</c:v>
                </c:pt>
                <c:pt idx="33">
                  <c:v>20.985626283367555</c:v>
                </c:pt>
                <c:pt idx="34">
                  <c:v>20.991101984941821</c:v>
                </c:pt>
                <c:pt idx="35">
                  <c:v>21.100616016427104</c:v>
                </c:pt>
                <c:pt idx="36">
                  <c:v>21.856262833675565</c:v>
                </c:pt>
                <c:pt idx="37">
                  <c:v>21.87542778918549</c:v>
                </c:pt>
                <c:pt idx="38">
                  <c:v>21.908281998631075</c:v>
                </c:pt>
                <c:pt idx="39">
                  <c:v>21.913757700205338</c:v>
                </c:pt>
                <c:pt idx="40">
                  <c:v>21.946611909650922</c:v>
                </c:pt>
                <c:pt idx="41">
                  <c:v>21.949349760438057</c:v>
                </c:pt>
                <c:pt idx="42">
                  <c:v>21.982203969883642</c:v>
                </c:pt>
                <c:pt idx="43">
                  <c:v>21.987679671457904</c:v>
                </c:pt>
                <c:pt idx="44">
                  <c:v>22.067077344284737</c:v>
                </c:pt>
                <c:pt idx="45">
                  <c:v>22.069815195071868</c:v>
                </c:pt>
                <c:pt idx="46">
                  <c:v>22.083504449007528</c:v>
                </c:pt>
                <c:pt idx="47">
                  <c:v>22.102669404517453</c:v>
                </c:pt>
                <c:pt idx="48">
                  <c:v>22.160164271047229</c:v>
                </c:pt>
                <c:pt idx="49">
                  <c:v>22.16290212183436</c:v>
                </c:pt>
                <c:pt idx="50">
                  <c:v>22.910335386721425</c:v>
                </c:pt>
                <c:pt idx="51">
                  <c:v>22.965092402464066</c:v>
                </c:pt>
                <c:pt idx="52">
                  <c:v>22.981519507186857</c:v>
                </c:pt>
                <c:pt idx="53">
                  <c:v>23.060917180013689</c:v>
                </c:pt>
                <c:pt idx="54">
                  <c:v>23.06365503080082</c:v>
                </c:pt>
                <c:pt idx="55">
                  <c:v>23.085557837097877</c:v>
                </c:pt>
                <c:pt idx="56">
                  <c:v>23.09924709103354</c:v>
                </c:pt>
                <c:pt idx="57">
                  <c:v>23.140314852840522</c:v>
                </c:pt>
                <c:pt idx="58">
                  <c:v>23.143052703627653</c:v>
                </c:pt>
                <c:pt idx="59">
                  <c:v>23.148528405201915</c:v>
                </c:pt>
                <c:pt idx="60">
                  <c:v>23.1813826146475</c:v>
                </c:pt>
                <c:pt idx="61">
                  <c:v>23.906913073237508</c:v>
                </c:pt>
                <c:pt idx="62">
                  <c:v>23.926078028747433</c:v>
                </c:pt>
                <c:pt idx="63">
                  <c:v>23.958932238193018</c:v>
                </c:pt>
                <c:pt idx="64">
                  <c:v>24.057494866529773</c:v>
                </c:pt>
                <c:pt idx="65">
                  <c:v>24.062970568104038</c:v>
                </c:pt>
                <c:pt idx="66">
                  <c:v>24.095824777549623</c:v>
                </c:pt>
                <c:pt idx="67">
                  <c:v>24.156057494866531</c:v>
                </c:pt>
                <c:pt idx="68">
                  <c:v>24.175222450376456</c:v>
                </c:pt>
                <c:pt idx="69">
                  <c:v>24.958247775496236</c:v>
                </c:pt>
                <c:pt idx="70">
                  <c:v>24.974674880219027</c:v>
                </c:pt>
                <c:pt idx="71">
                  <c:v>25.054072553045859</c:v>
                </c:pt>
                <c:pt idx="72">
                  <c:v>25.073237508555785</c:v>
                </c:pt>
                <c:pt idx="73">
                  <c:v>25.111567419575632</c:v>
                </c:pt>
                <c:pt idx="74">
                  <c:v>25.114305270362767</c:v>
                </c:pt>
                <c:pt idx="75">
                  <c:v>25.190965092402465</c:v>
                </c:pt>
                <c:pt idx="76">
                  <c:v>25.204654346338124</c:v>
                </c:pt>
                <c:pt idx="77">
                  <c:v>25.286789869952088</c:v>
                </c:pt>
                <c:pt idx="78">
                  <c:v>25.289527720739219</c:v>
                </c:pt>
              </c:numCache>
            </c:numRef>
          </c:xVal>
          <c:yVal>
            <c:numRef>
              <c:f>'McBride Analysis'!$E$2:$E$80</c:f>
              <c:numCache>
                <c:formatCode>_(* #,##0.00_);_(* \(#,##0.00\);_(* "-"??_);_(@_)</c:formatCode>
                <c:ptCount val="79"/>
                <c:pt idx="0">
                  <c:v>110.2</c:v>
                </c:pt>
                <c:pt idx="1">
                  <c:v>109.99</c:v>
                </c:pt>
                <c:pt idx="2">
                  <c:v>111.55</c:v>
                </c:pt>
                <c:pt idx="3">
                  <c:v>111</c:v>
                </c:pt>
                <c:pt idx="4">
                  <c:v>110.86</c:v>
                </c:pt>
                <c:pt idx="5">
                  <c:v>108.41</c:v>
                </c:pt>
                <c:pt idx="6">
                  <c:v>110.02</c:v>
                </c:pt>
                <c:pt idx="7">
                  <c:v>107.14</c:v>
                </c:pt>
                <c:pt idx="8">
                  <c:v>112.69</c:v>
                </c:pt>
                <c:pt idx="9">
                  <c:v>113.75</c:v>
                </c:pt>
                <c:pt idx="10">
                  <c:v>109.77</c:v>
                </c:pt>
                <c:pt idx="11">
                  <c:v>107.69</c:v>
                </c:pt>
                <c:pt idx="12">
                  <c:v>106.07</c:v>
                </c:pt>
                <c:pt idx="13">
                  <c:v>110.17</c:v>
                </c:pt>
                <c:pt idx="14">
                  <c:v>111.3</c:v>
                </c:pt>
                <c:pt idx="15">
                  <c:v>107.72</c:v>
                </c:pt>
                <c:pt idx="16">
                  <c:v>110.34</c:v>
                </c:pt>
                <c:pt idx="17">
                  <c:v>106.38</c:v>
                </c:pt>
                <c:pt idx="18">
                  <c:v>105.35</c:v>
                </c:pt>
                <c:pt idx="19">
                  <c:v>107.13</c:v>
                </c:pt>
                <c:pt idx="20">
                  <c:v>107.59</c:v>
                </c:pt>
                <c:pt idx="21">
                  <c:v>108.31</c:v>
                </c:pt>
                <c:pt idx="22">
                  <c:v>106.8</c:v>
                </c:pt>
                <c:pt idx="23">
                  <c:v>108.09</c:v>
                </c:pt>
                <c:pt idx="24">
                  <c:v>106.26</c:v>
                </c:pt>
                <c:pt idx="25">
                  <c:v>109.27</c:v>
                </c:pt>
                <c:pt idx="26">
                  <c:v>106.69</c:v>
                </c:pt>
                <c:pt idx="27">
                  <c:v>109.29</c:v>
                </c:pt>
                <c:pt idx="28">
                  <c:v>106.28</c:v>
                </c:pt>
                <c:pt idx="29">
                  <c:v>105.87</c:v>
                </c:pt>
                <c:pt idx="30">
                  <c:v>106.43</c:v>
                </c:pt>
                <c:pt idx="31">
                  <c:v>108.19</c:v>
                </c:pt>
                <c:pt idx="32">
                  <c:v>105.97</c:v>
                </c:pt>
                <c:pt idx="33">
                  <c:v>107.28</c:v>
                </c:pt>
                <c:pt idx="34">
                  <c:v>110.11</c:v>
                </c:pt>
                <c:pt idx="35">
                  <c:v>109.65</c:v>
                </c:pt>
                <c:pt idx="36">
                  <c:v>106.14</c:v>
                </c:pt>
                <c:pt idx="37">
                  <c:v>104.63</c:v>
                </c:pt>
                <c:pt idx="38">
                  <c:v>107.38</c:v>
                </c:pt>
                <c:pt idx="39">
                  <c:v>105.68</c:v>
                </c:pt>
                <c:pt idx="40">
                  <c:v>106.91</c:v>
                </c:pt>
                <c:pt idx="41">
                  <c:v>104.89</c:v>
                </c:pt>
                <c:pt idx="42">
                  <c:v>105.48</c:v>
                </c:pt>
                <c:pt idx="43">
                  <c:v>104.5</c:v>
                </c:pt>
                <c:pt idx="44">
                  <c:v>108.02</c:v>
                </c:pt>
                <c:pt idx="45">
                  <c:v>105.25</c:v>
                </c:pt>
                <c:pt idx="46">
                  <c:v>104.9</c:v>
                </c:pt>
                <c:pt idx="47">
                  <c:v>103.95</c:v>
                </c:pt>
                <c:pt idx="48">
                  <c:v>105.99</c:v>
                </c:pt>
                <c:pt idx="49">
                  <c:v>105.41</c:v>
                </c:pt>
                <c:pt idx="50">
                  <c:v>106.4</c:v>
                </c:pt>
                <c:pt idx="51">
                  <c:v>105.36</c:v>
                </c:pt>
                <c:pt idx="52">
                  <c:v>106.69</c:v>
                </c:pt>
                <c:pt idx="53">
                  <c:v>107.38</c:v>
                </c:pt>
                <c:pt idx="54">
                  <c:v>105.23</c:v>
                </c:pt>
                <c:pt idx="55">
                  <c:v>105.01</c:v>
                </c:pt>
                <c:pt idx="56">
                  <c:v>104.41</c:v>
                </c:pt>
                <c:pt idx="57">
                  <c:v>105.69</c:v>
                </c:pt>
                <c:pt idx="58">
                  <c:v>105.53</c:v>
                </c:pt>
                <c:pt idx="59">
                  <c:v>107.09</c:v>
                </c:pt>
                <c:pt idx="60">
                  <c:v>105.39</c:v>
                </c:pt>
                <c:pt idx="61">
                  <c:v>105.78</c:v>
                </c:pt>
                <c:pt idx="62">
                  <c:v>105.18</c:v>
                </c:pt>
                <c:pt idx="63">
                  <c:v>104.99</c:v>
                </c:pt>
                <c:pt idx="64">
                  <c:v>109.83</c:v>
                </c:pt>
                <c:pt idx="65">
                  <c:v>106.42</c:v>
                </c:pt>
                <c:pt idx="66">
                  <c:v>103.2</c:v>
                </c:pt>
                <c:pt idx="67">
                  <c:v>106.14</c:v>
                </c:pt>
                <c:pt idx="68">
                  <c:v>105.78</c:v>
                </c:pt>
                <c:pt idx="69">
                  <c:v>105.04</c:v>
                </c:pt>
                <c:pt idx="70">
                  <c:v>103.9</c:v>
                </c:pt>
                <c:pt idx="71">
                  <c:v>104.14</c:v>
                </c:pt>
                <c:pt idx="72">
                  <c:v>103.83</c:v>
                </c:pt>
                <c:pt idx="73">
                  <c:v>109.7</c:v>
                </c:pt>
                <c:pt idx="74">
                  <c:v>104.63</c:v>
                </c:pt>
                <c:pt idx="75">
                  <c:v>103.78</c:v>
                </c:pt>
                <c:pt idx="76">
                  <c:v>103.51</c:v>
                </c:pt>
                <c:pt idx="77">
                  <c:v>105.96</c:v>
                </c:pt>
                <c:pt idx="78">
                  <c:v>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0-4FAF-A08C-2260ADB2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9904"/>
        <c:axId val="148581568"/>
      </c:scatterChart>
      <c:valAx>
        <c:axId val="14857990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568"/>
        <c:crosses val="autoZero"/>
        <c:crossBetween val="midCat"/>
      </c:valAx>
      <c:valAx>
        <c:axId val="148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</a:t>
            </a:r>
            <a:r>
              <a:rPr lang="en-CA" baseline="0"/>
              <a:t> Deviation of Curves of Best Fit (Interpolation)</a:t>
            </a:r>
            <a:endParaRPr lang="en-CA"/>
          </a:p>
        </c:rich>
      </c:tx>
      <c:layout>
        <c:manualLayout>
          <c:xMode val="edge"/>
          <c:yMode val="edge"/>
          <c:x val="0.18016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Analysis'!$R$2</c:f>
              <c:strCache>
                <c:ptCount val="1"/>
                <c:pt idx="0">
                  <c:v>Quadratic Deviation (22)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741207349081363"/>
                  <c:y val="-0.35917359288422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</c:numCache>
            </c:numRef>
          </c:xVal>
          <c:yVal>
            <c:numRef>
              <c:f>'McBride Analysis'!$R$3:$R$7</c:f>
              <c:numCache>
                <c:formatCode>General</c:formatCode>
                <c:ptCount val="5"/>
                <c:pt idx="0">
                  <c:v>4036.42</c:v>
                </c:pt>
                <c:pt idx="1">
                  <c:v>139.38200000000001</c:v>
                </c:pt>
                <c:pt idx="2">
                  <c:v>1.5993999999999999</c:v>
                </c:pt>
                <c:pt idx="3">
                  <c:v>0.45279999999999998</c:v>
                </c:pt>
                <c:pt idx="4">
                  <c:v>2.6132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4CED-91B8-677E93BDD343}"/>
            </c:ext>
          </c:extLst>
        </c:ser>
        <c:ser>
          <c:idx val="1"/>
          <c:order val="1"/>
          <c:tx>
            <c:strRef>
              <c:f>'McBride Analysis'!$S$2</c:f>
              <c:strCache>
                <c:ptCount val="1"/>
                <c:pt idx="0">
                  <c:v>Cubic Deviation (22)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0925196850393701E-3"/>
                  <c:y val="-0.22491433362496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</c:numCache>
            </c:numRef>
          </c:xVal>
          <c:yVal>
            <c:numRef>
              <c:f>'McBride Analysis'!$S$3:$S$7</c:f>
              <c:numCache>
                <c:formatCode>General</c:formatCode>
                <c:ptCount val="5"/>
                <c:pt idx="0">
                  <c:v>663055.69999999995</c:v>
                </c:pt>
                <c:pt idx="1">
                  <c:v>2005.2439999999999</c:v>
                </c:pt>
                <c:pt idx="2">
                  <c:v>124.89919999999999</c:v>
                </c:pt>
                <c:pt idx="3">
                  <c:v>2.4843999999999999</c:v>
                </c:pt>
                <c:pt idx="4">
                  <c:v>5.5376000000000003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A-4CED-91B8-677E93BD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15519"/>
        <c:axId val="463114687"/>
      </c:scatterChart>
      <c:valAx>
        <c:axId val="4631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4687"/>
        <c:crosses val="autoZero"/>
        <c:crossBetween val="midCat"/>
      </c:valAx>
      <c:valAx>
        <c:axId val="46311468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Analysis'!$I$24</c:f>
              <c:strCache>
                <c:ptCount val="1"/>
                <c:pt idx="0">
                  <c:v>McBride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4340956556707"/>
                  <c:y val="-0.1780329542140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293110236220472"/>
                  <c:y val="-0.56746609798775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119400699912512"/>
                  <c:y val="-4.3082895888013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Analysis'!$H$25:$H$33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'McBride Analysis'!$I$25:$I$33</c:f>
              <c:numCache>
                <c:formatCode>General</c:formatCode>
                <c:ptCount val="9"/>
                <c:pt idx="0">
                  <c:v>110.34</c:v>
                </c:pt>
                <c:pt idx="1">
                  <c:v>109.59</c:v>
                </c:pt>
                <c:pt idx="2">
                  <c:v>109.18</c:v>
                </c:pt>
                <c:pt idx="3">
                  <c:v>107.48</c:v>
                </c:pt>
                <c:pt idx="4">
                  <c:v>107.47</c:v>
                </c:pt>
                <c:pt idx="5">
                  <c:v>105.65</c:v>
                </c:pt>
                <c:pt idx="6">
                  <c:v>105.83</c:v>
                </c:pt>
                <c:pt idx="7">
                  <c:v>105.92</c:v>
                </c:pt>
                <c:pt idx="8">
                  <c:v>105.07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E77-9D63-95BA5EDC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38895"/>
        <c:axId val="300839311"/>
      </c:scatterChart>
      <c:valAx>
        <c:axId val="300838895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9311"/>
        <c:crosses val="autoZero"/>
        <c:crossBetween val="midCat"/>
      </c:valAx>
      <c:valAx>
        <c:axId val="3008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 Deviation of Curves of Best Fit (Extrapolation)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Analysis'!$U$2</c:f>
              <c:strCache>
                <c:ptCount val="1"/>
                <c:pt idx="0">
                  <c:v>Quadratic Deviation (29)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797025371828522E-2"/>
                  <c:y val="-0.41472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Analysis'!$Q$3:$Q$9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  <c:pt idx="5">
                  <c:v>50</c:v>
                </c:pt>
                <c:pt idx="6">
                  <c:v>61</c:v>
                </c:pt>
              </c:numCache>
            </c:numRef>
          </c:xVal>
          <c:yVal>
            <c:numRef>
              <c:f>'McBride Analysis'!$U$3:$U$9</c:f>
              <c:numCache>
                <c:formatCode>General</c:formatCode>
                <c:ptCount val="7"/>
                <c:pt idx="0">
                  <c:v>23417.43</c:v>
                </c:pt>
                <c:pt idx="1">
                  <c:v>943.02549999999997</c:v>
                </c:pt>
                <c:pt idx="2">
                  <c:v>11.1792</c:v>
                </c:pt>
                <c:pt idx="3">
                  <c:v>24.7926</c:v>
                </c:pt>
                <c:pt idx="4">
                  <c:v>5.0259999999999998</c:v>
                </c:pt>
                <c:pt idx="5">
                  <c:v>10.5853</c:v>
                </c:pt>
                <c:pt idx="6">
                  <c:v>2.7231000000000001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E-4F8E-8BC0-8C3BCFAA9BDC}"/>
            </c:ext>
          </c:extLst>
        </c:ser>
        <c:ser>
          <c:idx val="1"/>
          <c:order val="1"/>
          <c:tx>
            <c:strRef>
              <c:f>'McBride Analysis'!$V$2</c:f>
              <c:strCache>
                <c:ptCount val="1"/>
                <c:pt idx="0">
                  <c:v>Cubic Deviation (29)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110564304461942"/>
                  <c:y val="-0.41472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Analysis'!$Q$3:$Q$9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  <c:pt idx="5">
                  <c:v>50</c:v>
                </c:pt>
                <c:pt idx="6">
                  <c:v>61</c:v>
                </c:pt>
              </c:numCache>
            </c:numRef>
          </c:xVal>
          <c:yVal>
            <c:numRef>
              <c:f>'McBride Analysis'!$V$3:$V$9</c:f>
              <c:numCache>
                <c:formatCode>General</c:formatCode>
                <c:ptCount val="7"/>
                <c:pt idx="0">
                  <c:v>4030922.1</c:v>
                </c:pt>
                <c:pt idx="1">
                  <c:v>320007.94199999998</c:v>
                </c:pt>
                <c:pt idx="2">
                  <c:v>2919.9031</c:v>
                </c:pt>
                <c:pt idx="3">
                  <c:v>57.279600000000002</c:v>
                </c:pt>
                <c:pt idx="4">
                  <c:v>180.7713</c:v>
                </c:pt>
                <c:pt idx="5">
                  <c:v>29.055900000000001</c:v>
                </c:pt>
                <c:pt idx="6">
                  <c:v>18.304099999999998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E-4F8E-8BC0-8C3BCFAA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61343"/>
        <c:axId val="297761759"/>
      </c:scatterChart>
      <c:valAx>
        <c:axId val="29776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1759"/>
        <c:crosses val="autoZero"/>
        <c:crossBetween val="midCat"/>
      </c:valAx>
      <c:valAx>
        <c:axId val="29776175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175260</xdr:rowOff>
    </xdr:from>
    <xdr:to>
      <xdr:col>14</xdr:col>
      <xdr:colOff>68580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485D6-0D23-45D1-BBF5-E074EF89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17</xdr:row>
      <xdr:rowOff>99060</xdr:rowOff>
    </xdr:from>
    <xdr:to>
      <xdr:col>19</xdr:col>
      <xdr:colOff>449580</xdr:colOff>
      <xdr:row>32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37CC2-D7D6-4EF4-927A-86C90C3E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2186940</xdr:colOff>
      <xdr:row>38</xdr:row>
      <xdr:rowOff>83820</xdr:rowOff>
    </xdr:from>
    <xdr:to>
      <xdr:col>13</xdr:col>
      <xdr:colOff>373380</xdr:colOff>
      <xdr:row>53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14068-8836-474B-B2D4-A8B1900B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1440180</xdr:colOff>
      <xdr:row>17</xdr:row>
      <xdr:rowOff>99060</xdr:rowOff>
    </xdr:from>
    <xdr:to>
      <xdr:col>22</xdr:col>
      <xdr:colOff>1143000</xdr:colOff>
      <xdr:row>32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6C869-474D-4A97-BF0F-BCDB0336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F2EB-6C3C-4382-B0D0-A8274A172428}">
  <dimension ref="B1:W83"/>
  <sheetViews>
    <sheetView topLeftCell="A13" workbookViewId="0">
      <selection activeCell="H24" sqref="H24:L38"/>
    </sheetView>
  </sheetViews>
  <sheetFormatPr defaultRowHeight="14.4" x14ac:dyDescent="0.3"/>
  <cols>
    <col min="3" max="4" width="9.88671875" bestFit="1" customWidth="1"/>
    <col min="6" max="6" width="9.21875" bestFit="1" customWidth="1"/>
    <col min="8" max="8" width="40.5546875" bestFit="1" customWidth="1"/>
    <col min="9" max="9" width="17" bestFit="1" customWidth="1"/>
    <col min="12" max="12" width="9.6640625" bestFit="1" customWidth="1"/>
    <col min="16" max="17" width="15.8867187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  <col min="24" max="24" width="21" bestFit="1" customWidth="1"/>
    <col min="25" max="25" width="17.44140625" bestFit="1" customWidth="1"/>
    <col min="26" max="26" width="32.5546875" bestFit="1" customWidth="1"/>
  </cols>
  <sheetData>
    <row r="1" spans="2:23" x14ac:dyDescent="0.3">
      <c r="B1" s="1">
        <v>34500</v>
      </c>
      <c r="C1" t="s">
        <v>1</v>
      </c>
      <c r="D1" t="s">
        <v>3</v>
      </c>
      <c r="E1" t="s">
        <v>0</v>
      </c>
    </row>
    <row r="2" spans="2:23" x14ac:dyDescent="0.3">
      <c r="B2">
        <v>1</v>
      </c>
      <c r="C2" s="1">
        <v>40684</v>
      </c>
      <c r="D2">
        <f>(C2-$B$1)/365.25</f>
        <v>16.930869267624914</v>
      </c>
      <c r="E2" s="2">
        <v>110.2</v>
      </c>
      <c r="P2" t="s">
        <v>4</v>
      </c>
      <c r="Q2" t="s">
        <v>7</v>
      </c>
      <c r="R2" t="s">
        <v>5</v>
      </c>
      <c r="S2" t="s">
        <v>6</v>
      </c>
      <c r="T2" t="s">
        <v>8</v>
      </c>
      <c r="U2" t="s">
        <v>15</v>
      </c>
      <c r="V2" t="s">
        <v>16</v>
      </c>
      <c r="W2" t="s">
        <v>8</v>
      </c>
    </row>
    <row r="3" spans="2:23" x14ac:dyDescent="0.3">
      <c r="B3">
        <v>2</v>
      </c>
      <c r="C3" s="1">
        <v>40706</v>
      </c>
      <c r="D3">
        <f>(C3-$B$1)/365.25</f>
        <v>16.991101984941821</v>
      </c>
      <c r="E3" s="2">
        <v>109.99</v>
      </c>
      <c r="P3">
        <v>2011</v>
      </c>
      <c r="Q3">
        <v>6</v>
      </c>
      <c r="R3">
        <f>ABS(-3931.92-104.5)</f>
        <v>4036.42</v>
      </c>
      <c r="S3">
        <f>ABS(-662951.2-104.5)</f>
        <v>663055.69999999995</v>
      </c>
      <c r="T3" s="3">
        <f>S3/R3</f>
        <v>164.26826247020873</v>
      </c>
      <c r="U3">
        <v>23417.43</v>
      </c>
      <c r="V3" s="6">
        <v>4030922.1</v>
      </c>
      <c r="W3" s="3">
        <f>V3/U3</f>
        <v>172.13341088240682</v>
      </c>
    </row>
    <row r="4" spans="2:23" x14ac:dyDescent="0.3">
      <c r="B4">
        <v>3</v>
      </c>
      <c r="C4" s="1">
        <v>40730</v>
      </c>
      <c r="D4">
        <f>(C4-$B$1)/365.25</f>
        <v>17.056810403832991</v>
      </c>
      <c r="E4" s="2">
        <v>111.55</v>
      </c>
      <c r="P4">
        <v>2012</v>
      </c>
      <c r="Q4">
        <v>13</v>
      </c>
      <c r="R4">
        <f>ABS(-139.382)</f>
        <v>139.38200000000001</v>
      </c>
      <c r="S4">
        <f>ABS(-2005.244)</f>
        <v>2005.2439999999999</v>
      </c>
      <c r="T4" s="3">
        <f t="shared" ref="T4:T11" si="0">S4/R4</f>
        <v>14.386678337231492</v>
      </c>
      <c r="U4" s="6">
        <v>943.02549999999997</v>
      </c>
      <c r="V4" s="6">
        <v>320007.94199999998</v>
      </c>
      <c r="W4" s="3">
        <f t="shared" ref="W4:W11" si="1">V4/U4</f>
        <v>339.34176965522141</v>
      </c>
    </row>
    <row r="5" spans="2:23" x14ac:dyDescent="0.3">
      <c r="B5">
        <v>4</v>
      </c>
      <c r="C5" s="1">
        <v>40731</v>
      </c>
      <c r="D5">
        <f>(C5-$B$1)/365.25</f>
        <v>17.059548254620122</v>
      </c>
      <c r="E5" s="2">
        <v>111</v>
      </c>
      <c r="P5">
        <v>2013</v>
      </c>
      <c r="Q5">
        <v>18</v>
      </c>
      <c r="R5">
        <v>1.5993999999999999</v>
      </c>
      <c r="S5">
        <f>ABS(-124.8992)</f>
        <v>124.89919999999999</v>
      </c>
      <c r="T5" s="3">
        <f t="shared" si="0"/>
        <v>78.09128423158684</v>
      </c>
      <c r="U5" s="6">
        <v>11.1792</v>
      </c>
      <c r="V5" s="6">
        <v>2919.9031</v>
      </c>
      <c r="W5" s="3">
        <f t="shared" si="1"/>
        <v>261.19070237584083</v>
      </c>
    </row>
    <row r="6" spans="2:23" x14ac:dyDescent="0.3">
      <c r="B6">
        <v>5</v>
      </c>
      <c r="C6" s="1">
        <v>40747</v>
      </c>
      <c r="D6">
        <f>(C6-$B$1)/365.25</f>
        <v>17.103353867214238</v>
      </c>
      <c r="E6" s="2">
        <v>110.86</v>
      </c>
      <c r="P6">
        <v>2014</v>
      </c>
      <c r="Q6">
        <v>28</v>
      </c>
      <c r="R6">
        <f>ABS(-0.4528)</f>
        <v>0.45279999999999998</v>
      </c>
      <c r="S6">
        <v>2.4843999999999999</v>
      </c>
      <c r="T6" s="3">
        <f t="shared" si="0"/>
        <v>5.4867491166077738</v>
      </c>
      <c r="U6" s="6">
        <v>24.7926</v>
      </c>
      <c r="V6" s="6">
        <v>57.279600000000002</v>
      </c>
      <c r="W6" s="3">
        <f t="shared" si="1"/>
        <v>2.310350669151279</v>
      </c>
    </row>
    <row r="7" spans="2:23" x14ac:dyDescent="0.3">
      <c r="C7" s="1">
        <v>40762</v>
      </c>
      <c r="D7">
        <f>(C7-$B$1)/365.25</f>
        <v>17.144421629021217</v>
      </c>
      <c r="E7" s="2">
        <v>108.41</v>
      </c>
      <c r="P7">
        <v>2015</v>
      </c>
      <c r="Q7">
        <v>36</v>
      </c>
      <c r="R7">
        <v>2.6132</v>
      </c>
      <c r="S7">
        <v>5.5376000000000003</v>
      </c>
      <c r="T7" s="3">
        <f t="shared" si="0"/>
        <v>2.1190877085565591</v>
      </c>
      <c r="U7" s="6">
        <v>5.0259999999999998</v>
      </c>
      <c r="V7" s="6">
        <v>180.7713</v>
      </c>
      <c r="W7" s="3">
        <f t="shared" si="1"/>
        <v>35.967230401910065</v>
      </c>
    </row>
    <row r="8" spans="2:23" x14ac:dyDescent="0.3">
      <c r="C8" s="1">
        <v>41053</v>
      </c>
      <c r="D8">
        <f>(C8-$B$1)/365.25</f>
        <v>17.94113620807666</v>
      </c>
      <c r="E8" s="2">
        <v>110.02</v>
      </c>
      <c r="P8">
        <v>2016</v>
      </c>
      <c r="Q8">
        <v>50</v>
      </c>
      <c r="R8">
        <v>1.2924</v>
      </c>
      <c r="S8">
        <v>1.7287999999999999</v>
      </c>
      <c r="T8" s="3">
        <f t="shared" si="0"/>
        <v>1.3376663571649643</v>
      </c>
      <c r="U8" s="6">
        <v>10.5853</v>
      </c>
      <c r="V8" s="6">
        <v>29.055900000000001</v>
      </c>
      <c r="W8" s="3">
        <f t="shared" si="1"/>
        <v>2.744929288730598</v>
      </c>
    </row>
    <row r="9" spans="2:23" x14ac:dyDescent="0.3">
      <c r="C9" s="1">
        <v>41055</v>
      </c>
      <c r="D9">
        <f>(C9-$B$1)/365.25</f>
        <v>17.946611909650922</v>
      </c>
      <c r="E9" s="2">
        <v>107.14</v>
      </c>
      <c r="P9">
        <v>2017</v>
      </c>
      <c r="Q9">
        <v>61</v>
      </c>
      <c r="R9">
        <v>1.6772</v>
      </c>
      <c r="S9">
        <v>1.6064000000000001</v>
      </c>
      <c r="T9" s="3">
        <f t="shared" si="0"/>
        <v>0.95778678750298119</v>
      </c>
      <c r="U9" s="6">
        <v>2.7231000000000001</v>
      </c>
      <c r="V9" s="6">
        <v>18.304099999999998</v>
      </c>
      <c r="W9" s="3">
        <f t="shared" si="1"/>
        <v>6.721787668466086</v>
      </c>
    </row>
    <row r="10" spans="2:23" x14ac:dyDescent="0.3">
      <c r="C10" s="1">
        <v>41069</v>
      </c>
      <c r="D10">
        <f>(C10-$B$1)/365.25</f>
        <v>17.984941820670773</v>
      </c>
      <c r="E10" s="2">
        <v>112.69</v>
      </c>
      <c r="P10">
        <v>2018</v>
      </c>
      <c r="Q10">
        <v>69</v>
      </c>
      <c r="R10">
        <v>1.7594000000000001</v>
      </c>
      <c r="S10">
        <v>1.1066</v>
      </c>
      <c r="T10" s="3">
        <f t="shared" si="0"/>
        <v>0.62896441968853012</v>
      </c>
      <c r="U10" s="6">
        <v>0.45939999999999998</v>
      </c>
      <c r="V10" s="6">
        <v>14.9497</v>
      </c>
      <c r="W10" s="3">
        <f t="shared" si="1"/>
        <v>32.541793643883331</v>
      </c>
    </row>
    <row r="11" spans="2:23" x14ac:dyDescent="0.3">
      <c r="C11" s="1">
        <v>41069</v>
      </c>
      <c r="D11">
        <f>(C11-$B$1)/365.25</f>
        <v>17.984941820670773</v>
      </c>
      <c r="E11" s="2">
        <v>113.75</v>
      </c>
      <c r="P11">
        <v>2019</v>
      </c>
      <c r="Q11">
        <v>79</v>
      </c>
      <c r="R11">
        <v>1.7514000000000001</v>
      </c>
      <c r="S11">
        <v>1.581</v>
      </c>
      <c r="T11" s="3">
        <f t="shared" si="0"/>
        <v>0.9027064063035285</v>
      </c>
      <c r="U11" s="6">
        <v>0.71689999999999998</v>
      </c>
      <c r="V11" s="6">
        <v>1.4836</v>
      </c>
      <c r="W11" s="3">
        <f t="shared" si="1"/>
        <v>2.0694657553354721</v>
      </c>
    </row>
    <row r="12" spans="2:23" x14ac:dyDescent="0.3">
      <c r="C12" s="1">
        <v>41103</v>
      </c>
      <c r="D12">
        <f>(C12-$B$1)/365.25</f>
        <v>18.078028747433265</v>
      </c>
      <c r="E12" s="2">
        <v>109.77</v>
      </c>
    </row>
    <row r="13" spans="2:23" x14ac:dyDescent="0.3">
      <c r="C13" s="1">
        <v>41104</v>
      </c>
      <c r="D13">
        <f>(C13-$B$1)/365.25</f>
        <v>18.080766598220396</v>
      </c>
      <c r="E13" s="2">
        <v>107.69</v>
      </c>
    </row>
    <row r="14" spans="2:23" x14ac:dyDescent="0.3">
      <c r="C14" s="1">
        <v>41105</v>
      </c>
      <c r="D14">
        <f>(C14-$B$1)/365.25</f>
        <v>18.083504449007528</v>
      </c>
      <c r="E14" s="2">
        <v>106.07</v>
      </c>
      <c r="F14" s="4"/>
    </row>
    <row r="15" spans="2:23" x14ac:dyDescent="0.3">
      <c r="C15" s="1">
        <v>41404</v>
      </c>
      <c r="D15">
        <f>(C15-$B$1)/365.25</f>
        <v>18.902121834360027</v>
      </c>
      <c r="E15" s="2">
        <v>110.17</v>
      </c>
      <c r="Q15">
        <v>22</v>
      </c>
      <c r="R15">
        <v>22</v>
      </c>
      <c r="S15">
        <v>29</v>
      </c>
      <c r="T15">
        <v>29</v>
      </c>
    </row>
    <row r="16" spans="2:23" x14ac:dyDescent="0.3">
      <c r="C16" s="1">
        <v>41417</v>
      </c>
      <c r="D16">
        <f>(C16-$B$1)/365.25</f>
        <v>18.937713894592743</v>
      </c>
      <c r="E16" s="2">
        <v>111.3</v>
      </c>
      <c r="Q16">
        <f>0.0686*Q15^2-3.5655*Q15+151.49</f>
        <v>106.2514</v>
      </c>
      <c r="R16">
        <f>0.0065*R15^3-0.3458*R15^2+5.1481*R15+90.978</f>
        <v>106.081</v>
      </c>
      <c r="S16">
        <f>0.0686*S15^2-3.5655*S15+151.49</f>
        <v>105.7831</v>
      </c>
      <c r="T16">
        <f>0.0065*T15^3-0.3458*T15^2+5.1481*T15+90.978</f>
        <v>107.98360000000001</v>
      </c>
    </row>
    <row r="17" spans="3:20" x14ac:dyDescent="0.3">
      <c r="C17" s="1">
        <v>41476</v>
      </c>
      <c r="D17">
        <f>(C17-$B$1)/365.25</f>
        <v>19.09924709103354</v>
      </c>
      <c r="E17" s="2">
        <v>107.72</v>
      </c>
      <c r="Q17">
        <f>Q16-104.5</f>
        <v>1.7514000000000038</v>
      </c>
      <c r="R17">
        <f>R16-104.5</f>
        <v>1.5810000000000031</v>
      </c>
      <c r="S17">
        <f>S16-106.5</f>
        <v>-0.71689999999999543</v>
      </c>
      <c r="T17">
        <f>T16-106.5</f>
        <v>1.4836000000000098</v>
      </c>
    </row>
    <row r="18" spans="3:20" x14ac:dyDescent="0.3">
      <c r="C18" s="1">
        <v>41499</v>
      </c>
      <c r="D18">
        <f>(C18-$B$1)/365.25</f>
        <v>19.162217659137578</v>
      </c>
      <c r="E18" s="2">
        <v>110.34</v>
      </c>
    </row>
    <row r="19" spans="3:20" x14ac:dyDescent="0.3">
      <c r="C19" s="1">
        <v>41502</v>
      </c>
      <c r="D19">
        <f>(C19-$B$1)/365.25</f>
        <v>19.170431211498972</v>
      </c>
      <c r="E19" s="2">
        <v>106.38</v>
      </c>
    </row>
    <row r="20" spans="3:20" x14ac:dyDescent="0.3">
      <c r="C20" s="1">
        <v>41748</v>
      </c>
      <c r="D20">
        <f>(C20-$B$1)/365.25</f>
        <v>19.843942505133469</v>
      </c>
      <c r="E20" s="2">
        <v>105.35</v>
      </c>
      <c r="F20" s="4"/>
    </row>
    <row r="21" spans="3:20" x14ac:dyDescent="0.3">
      <c r="C21" s="1">
        <v>41775</v>
      </c>
      <c r="D21">
        <f>(C21-$B$1)/365.25</f>
        <v>19.917864476386036</v>
      </c>
      <c r="E21" s="2">
        <v>107.13</v>
      </c>
    </row>
    <row r="22" spans="3:20" x14ac:dyDescent="0.3">
      <c r="C22" s="1">
        <v>41777</v>
      </c>
      <c r="D22">
        <f>(C22-$B$1)/365.25</f>
        <v>19.923340177960302</v>
      </c>
      <c r="E22" s="2">
        <v>107.59</v>
      </c>
    </row>
    <row r="23" spans="3:20" x14ac:dyDescent="0.3">
      <c r="C23" s="1">
        <v>41788</v>
      </c>
      <c r="D23">
        <f>(C23-$B$1)/365.25</f>
        <v>19.953456536618756</v>
      </c>
      <c r="E23" s="2">
        <v>108.31</v>
      </c>
    </row>
    <row r="24" spans="3:20" x14ac:dyDescent="0.3">
      <c r="C24" s="1">
        <v>41789</v>
      </c>
      <c r="D24">
        <f>(C24-$B$1)/365.25</f>
        <v>19.956194387405887</v>
      </c>
      <c r="E24" s="2">
        <v>106.8</v>
      </c>
      <c r="H24" t="s">
        <v>9</v>
      </c>
      <c r="I24" t="s">
        <v>2</v>
      </c>
    </row>
    <row r="25" spans="3:20" x14ac:dyDescent="0.3">
      <c r="C25" s="1">
        <v>41801</v>
      </c>
      <c r="D25">
        <f>(C25-$B$1)/365.25</f>
        <v>19.989048596851472</v>
      </c>
      <c r="E25" s="2">
        <v>108.09</v>
      </c>
      <c r="H25">
        <v>17</v>
      </c>
      <c r="I25">
        <v>110.34</v>
      </c>
    </row>
    <row r="26" spans="3:20" x14ac:dyDescent="0.3">
      <c r="C26" s="1">
        <v>41803</v>
      </c>
      <c r="D26">
        <f>(C26-$B$1)/365.25</f>
        <v>19.994524298425734</v>
      </c>
      <c r="E26" s="2">
        <v>106.26</v>
      </c>
      <c r="H26">
        <v>18</v>
      </c>
      <c r="I26">
        <v>109.59</v>
      </c>
    </row>
    <row r="27" spans="3:20" x14ac:dyDescent="0.3">
      <c r="C27" s="1">
        <v>41818</v>
      </c>
      <c r="D27">
        <f>(C27-$B$1)/365.25</f>
        <v>20.035592060232716</v>
      </c>
      <c r="E27" s="2">
        <v>109.27</v>
      </c>
      <c r="F27" s="4"/>
      <c r="H27">
        <v>19</v>
      </c>
      <c r="I27">
        <v>109.18</v>
      </c>
    </row>
    <row r="28" spans="3:20" x14ac:dyDescent="0.3">
      <c r="C28" s="1">
        <v>41819</v>
      </c>
      <c r="D28">
        <f>(C28-$B$1)/365.25</f>
        <v>20.038329911019851</v>
      </c>
      <c r="E28" s="2">
        <v>106.69</v>
      </c>
      <c r="H28">
        <v>20</v>
      </c>
      <c r="I28">
        <v>107.48</v>
      </c>
    </row>
    <row r="29" spans="3:20" x14ac:dyDescent="0.3">
      <c r="C29" s="1">
        <v>41849</v>
      </c>
      <c r="D29">
        <f>(C29-$B$1)/365.25</f>
        <v>20.120465434633811</v>
      </c>
      <c r="E29" s="2">
        <v>109.29</v>
      </c>
      <c r="H29">
        <v>21</v>
      </c>
      <c r="I29">
        <v>107.47</v>
      </c>
    </row>
    <row r="30" spans="3:20" x14ac:dyDescent="0.3">
      <c r="C30" s="1">
        <v>42112</v>
      </c>
      <c r="D30">
        <f>(C30-$B$1)/365.25</f>
        <v>20.840520191649556</v>
      </c>
      <c r="E30" s="2">
        <v>106.28</v>
      </c>
      <c r="H30">
        <v>22</v>
      </c>
      <c r="I30">
        <v>105.65</v>
      </c>
    </row>
    <row r="31" spans="3:20" x14ac:dyDescent="0.3">
      <c r="C31" s="1">
        <v>42139</v>
      </c>
      <c r="D31">
        <f>(C31-$B$1)/365.25</f>
        <v>20.914442162902123</v>
      </c>
      <c r="E31" s="2">
        <v>105.87</v>
      </c>
      <c r="H31">
        <v>23</v>
      </c>
      <c r="I31">
        <v>105.83</v>
      </c>
    </row>
    <row r="32" spans="3:20" x14ac:dyDescent="0.3">
      <c r="C32" s="1">
        <v>42140</v>
      </c>
      <c r="D32">
        <f>(C32-$B$1)/365.25</f>
        <v>20.917180013689254</v>
      </c>
      <c r="E32" s="2">
        <v>106.43</v>
      </c>
      <c r="F32" s="4"/>
      <c r="H32">
        <v>24</v>
      </c>
      <c r="I32">
        <v>105.92</v>
      </c>
    </row>
    <row r="33" spans="3:12" x14ac:dyDescent="0.3">
      <c r="C33" s="1">
        <v>42152</v>
      </c>
      <c r="D33">
        <f>(C33-$B$1)/365.25</f>
        <v>20.950034223134839</v>
      </c>
      <c r="E33" s="2">
        <v>108.19</v>
      </c>
      <c r="H33">
        <v>25</v>
      </c>
      <c r="I33">
        <v>105.07</v>
      </c>
    </row>
    <row r="34" spans="3:12" x14ac:dyDescent="0.3">
      <c r="C34" s="1">
        <v>42153</v>
      </c>
      <c r="D34">
        <f>(C34-$B$1)/365.25</f>
        <v>20.95277207392197</v>
      </c>
      <c r="E34" s="2">
        <v>105.97</v>
      </c>
    </row>
    <row r="35" spans="3:12" x14ac:dyDescent="0.3">
      <c r="C35" s="1">
        <v>42165</v>
      </c>
      <c r="D35">
        <f>(C35-$B$1)/365.25</f>
        <v>20.985626283367555</v>
      </c>
      <c r="E35" s="2">
        <v>107.28</v>
      </c>
      <c r="H35" t="s">
        <v>20</v>
      </c>
      <c r="I35" t="s">
        <v>12</v>
      </c>
      <c r="J35" t="s">
        <v>13</v>
      </c>
      <c r="K35" t="s">
        <v>14</v>
      </c>
    </row>
    <row r="36" spans="3:12" x14ac:dyDescent="0.3">
      <c r="C36" s="1">
        <v>42167</v>
      </c>
      <c r="D36">
        <f>(C36-$B$1)/365.25</f>
        <v>20.991101984941821</v>
      </c>
      <c r="E36" s="2">
        <v>110.11</v>
      </c>
      <c r="H36" t="s">
        <v>10</v>
      </c>
      <c r="I36">
        <f>0.0513*22^2-2.8297*22+143.87</f>
        <v>106.44580000000001</v>
      </c>
      <c r="J36">
        <f>0.01*22^3-0.5814*22^2+10.337*22+53.36</f>
        <v>105.85639999999999</v>
      </c>
      <c r="K36">
        <f>0.0032*22^4-0.2337*22^3+6.2275*22^2-73.246*22+433.66</f>
        <v>97.539600000000689</v>
      </c>
      <c r="L36" s="5" t="s">
        <v>17</v>
      </c>
    </row>
    <row r="37" spans="3:12" x14ac:dyDescent="0.3">
      <c r="C37" s="1">
        <v>42207</v>
      </c>
      <c r="D37">
        <f>(C37-$B$1)/365.25</f>
        <v>21.100616016427104</v>
      </c>
      <c r="E37" s="2">
        <v>109.65</v>
      </c>
      <c r="H37" t="s">
        <v>11</v>
      </c>
      <c r="I37">
        <f>0.0513*29^2-2.8297*29+143.87</f>
        <v>104.952</v>
      </c>
      <c r="J37">
        <f>0.01*29^3-0.5814*29^2+10.337*29+53.36</f>
        <v>108.06559999999998</v>
      </c>
      <c r="K37">
        <f>0.0032*29^4-0.2337*29^3+6.2275*29^2-73.246*29+433.66</f>
        <v>110.44340000000074</v>
      </c>
      <c r="L37" t="s">
        <v>18</v>
      </c>
    </row>
    <row r="38" spans="3:12" x14ac:dyDescent="0.3">
      <c r="C38" s="1">
        <v>42483</v>
      </c>
      <c r="D38">
        <f>(C38-$B$1)/365.25</f>
        <v>21.856262833675565</v>
      </c>
      <c r="E38" s="2">
        <v>106.14</v>
      </c>
      <c r="I38">
        <f>(I37+J37)/2</f>
        <v>106.50879999999998</v>
      </c>
    </row>
    <row r="39" spans="3:12" x14ac:dyDescent="0.3">
      <c r="C39" s="1">
        <v>42490</v>
      </c>
      <c r="D39">
        <f>(C39-$B$1)/365.25</f>
        <v>21.87542778918549</v>
      </c>
      <c r="E39" s="2">
        <v>104.63</v>
      </c>
    </row>
    <row r="40" spans="3:12" x14ac:dyDescent="0.3">
      <c r="C40" s="1">
        <v>42502</v>
      </c>
      <c r="D40">
        <f>(C40-$B$1)/365.25</f>
        <v>21.908281998631075</v>
      </c>
      <c r="E40" s="2">
        <v>107.38</v>
      </c>
    </row>
    <row r="41" spans="3:12" x14ac:dyDescent="0.3">
      <c r="C41" s="1">
        <v>42504</v>
      </c>
      <c r="D41">
        <f>(C41-$B$1)/365.25</f>
        <v>21.913757700205338</v>
      </c>
      <c r="E41" s="2">
        <v>105.68</v>
      </c>
    </row>
    <row r="42" spans="3:12" x14ac:dyDescent="0.3">
      <c r="C42" s="1">
        <v>42516</v>
      </c>
      <c r="D42">
        <f>(C42-$B$1)/365.25</f>
        <v>21.946611909650922</v>
      </c>
      <c r="E42" s="2">
        <v>106.91</v>
      </c>
      <c r="F42" s="4"/>
    </row>
    <row r="43" spans="3:12" x14ac:dyDescent="0.3">
      <c r="C43" s="1">
        <v>42517</v>
      </c>
      <c r="D43">
        <f>(C43-$B$1)/365.25</f>
        <v>21.949349760438057</v>
      </c>
      <c r="E43" s="2">
        <v>104.89</v>
      </c>
    </row>
    <row r="44" spans="3:12" x14ac:dyDescent="0.3">
      <c r="C44" s="1">
        <v>42529</v>
      </c>
      <c r="D44">
        <f>(C44-$B$1)/365.25</f>
        <v>21.982203969883642</v>
      </c>
      <c r="E44" s="2">
        <v>105.48</v>
      </c>
    </row>
    <row r="45" spans="3:12" x14ac:dyDescent="0.3">
      <c r="C45" s="1">
        <v>42531</v>
      </c>
      <c r="D45">
        <f>(C45-$B$1)/365.25</f>
        <v>21.987679671457904</v>
      </c>
      <c r="E45" s="2">
        <v>104.5</v>
      </c>
    </row>
    <row r="46" spans="3:12" x14ac:dyDescent="0.3">
      <c r="C46" s="1">
        <v>42560</v>
      </c>
      <c r="D46">
        <f>(C46-$B$1)/365.25</f>
        <v>22.067077344284737</v>
      </c>
      <c r="E46" s="2">
        <v>108.02</v>
      </c>
    </row>
    <row r="47" spans="3:12" x14ac:dyDescent="0.3">
      <c r="C47" s="1">
        <v>42561</v>
      </c>
      <c r="D47">
        <f>(C47-$B$1)/365.25</f>
        <v>22.069815195071868</v>
      </c>
      <c r="E47" s="2">
        <v>105.25</v>
      </c>
    </row>
    <row r="48" spans="3:12" x14ac:dyDescent="0.3">
      <c r="C48" s="1">
        <v>42566</v>
      </c>
      <c r="D48">
        <f>(C48-$B$1)/365.25</f>
        <v>22.083504449007528</v>
      </c>
      <c r="E48" s="2">
        <v>104.9</v>
      </c>
    </row>
    <row r="49" spans="3:6" x14ac:dyDescent="0.3">
      <c r="C49" s="1">
        <v>42573</v>
      </c>
      <c r="D49">
        <f>(C49-$B$1)/365.25</f>
        <v>22.102669404517453</v>
      </c>
      <c r="E49" s="2">
        <v>103.95</v>
      </c>
    </row>
    <row r="50" spans="3:6" x14ac:dyDescent="0.3">
      <c r="C50" s="1">
        <v>42594</v>
      </c>
      <c r="D50">
        <f>(C50-$B$1)/365.25</f>
        <v>22.160164271047229</v>
      </c>
      <c r="E50" s="2">
        <v>105.99</v>
      </c>
      <c r="F50" s="4"/>
    </row>
    <row r="51" spans="3:6" x14ac:dyDescent="0.3">
      <c r="C51" s="1">
        <v>42595</v>
      </c>
      <c r="D51">
        <f>(C51-$B$1)/365.25</f>
        <v>22.16290212183436</v>
      </c>
      <c r="E51" s="2">
        <v>105.41</v>
      </c>
    </row>
    <row r="52" spans="3:6" x14ac:dyDescent="0.3">
      <c r="C52" s="1">
        <v>42868</v>
      </c>
      <c r="D52">
        <f>(C52-$B$1)/365.25</f>
        <v>22.910335386721425</v>
      </c>
      <c r="E52" s="2">
        <v>106.4</v>
      </c>
    </row>
    <row r="53" spans="3:6" x14ac:dyDescent="0.3">
      <c r="C53" s="1">
        <v>42888</v>
      </c>
      <c r="D53">
        <f>(C53-$B$1)/365.25</f>
        <v>22.965092402464066</v>
      </c>
      <c r="E53" s="2">
        <v>105.36</v>
      </c>
    </row>
    <row r="54" spans="3:6" x14ac:dyDescent="0.3">
      <c r="C54" s="1">
        <v>42894</v>
      </c>
      <c r="D54">
        <f>(C54-$B$1)/365.25</f>
        <v>22.981519507186857</v>
      </c>
      <c r="E54" s="2">
        <v>106.69</v>
      </c>
    </row>
    <row r="55" spans="3:6" x14ac:dyDescent="0.3">
      <c r="C55" s="1">
        <v>42923</v>
      </c>
      <c r="D55">
        <f>(C55-$B$1)/365.25</f>
        <v>23.060917180013689</v>
      </c>
      <c r="E55" s="2">
        <v>107.38</v>
      </c>
    </row>
    <row r="56" spans="3:6" x14ac:dyDescent="0.3">
      <c r="C56" s="1">
        <v>42924</v>
      </c>
      <c r="D56">
        <f>(C56-$B$1)/365.25</f>
        <v>23.06365503080082</v>
      </c>
      <c r="E56" s="2">
        <v>105.23</v>
      </c>
    </row>
    <row r="57" spans="3:6" x14ac:dyDescent="0.3">
      <c r="C57" s="1">
        <v>42932</v>
      </c>
      <c r="D57">
        <f>(C57-$B$1)/365.25</f>
        <v>23.085557837097877</v>
      </c>
      <c r="E57" s="2">
        <v>105.01</v>
      </c>
    </row>
    <row r="58" spans="3:6" x14ac:dyDescent="0.3">
      <c r="C58" s="1">
        <v>42937</v>
      </c>
      <c r="D58">
        <f>(C58-$B$1)/365.25</f>
        <v>23.09924709103354</v>
      </c>
      <c r="E58" s="2">
        <v>104.41</v>
      </c>
    </row>
    <row r="59" spans="3:6" x14ac:dyDescent="0.3">
      <c r="C59" s="1">
        <v>42952</v>
      </c>
      <c r="D59">
        <f>(C59-$B$1)/365.25</f>
        <v>23.140314852840522</v>
      </c>
      <c r="E59" s="2">
        <v>105.69</v>
      </c>
    </row>
    <row r="60" spans="3:6" x14ac:dyDescent="0.3">
      <c r="C60" s="1">
        <v>42953</v>
      </c>
      <c r="D60">
        <f>(C60-$B$1)/365.25</f>
        <v>23.143052703627653</v>
      </c>
      <c r="E60" s="2">
        <v>105.53</v>
      </c>
    </row>
    <row r="61" spans="3:6" x14ac:dyDescent="0.3">
      <c r="C61" s="1">
        <v>42955</v>
      </c>
      <c r="D61">
        <f>(C61-$B$1)/365.25</f>
        <v>23.148528405201915</v>
      </c>
      <c r="E61" s="2">
        <v>107.09</v>
      </c>
    </row>
    <row r="62" spans="3:6" x14ac:dyDescent="0.3">
      <c r="C62" s="1">
        <v>42967</v>
      </c>
      <c r="D62">
        <f>(C62-$B$1)/365.25</f>
        <v>23.1813826146475</v>
      </c>
      <c r="E62" s="2">
        <v>105.39</v>
      </c>
    </row>
    <row r="63" spans="3:6" x14ac:dyDescent="0.3">
      <c r="C63" s="1">
        <v>43232</v>
      </c>
      <c r="D63">
        <f>(C63-$B$1)/365.25</f>
        <v>23.906913073237508</v>
      </c>
      <c r="E63" s="2">
        <v>105.78</v>
      </c>
    </row>
    <row r="64" spans="3:6" x14ac:dyDescent="0.3">
      <c r="C64" s="1">
        <v>43239</v>
      </c>
      <c r="D64">
        <f>(C64-$B$1)/365.25</f>
        <v>23.926078028747433</v>
      </c>
      <c r="E64" s="2">
        <v>105.18</v>
      </c>
      <c r="F64" s="4"/>
    </row>
    <row r="65" spans="3:7" x14ac:dyDescent="0.3">
      <c r="C65" s="1">
        <v>43251</v>
      </c>
      <c r="D65">
        <f>(C65-$B$1)/365.25</f>
        <v>23.958932238193018</v>
      </c>
      <c r="E65" s="2">
        <v>104.99</v>
      </c>
    </row>
    <row r="66" spans="3:7" x14ac:dyDescent="0.3">
      <c r="C66" s="1">
        <v>43287</v>
      </c>
      <c r="D66">
        <f>(C66-$B$1)/365.25</f>
        <v>24.057494866529773</v>
      </c>
      <c r="E66" s="2">
        <v>109.83</v>
      </c>
      <c r="G66" s="1"/>
    </row>
    <row r="67" spans="3:7" x14ac:dyDescent="0.3">
      <c r="C67" s="1">
        <v>43289</v>
      </c>
      <c r="D67">
        <f>(C67-$B$1)/365.25</f>
        <v>24.062970568104038</v>
      </c>
      <c r="E67" s="2">
        <v>106.42</v>
      </c>
      <c r="G67" s="1"/>
    </row>
    <row r="68" spans="3:7" x14ac:dyDescent="0.3">
      <c r="C68" s="1">
        <v>43301</v>
      </c>
      <c r="D68">
        <f>(C68-$B$1)/365.25</f>
        <v>24.095824777549623</v>
      </c>
      <c r="E68" s="2">
        <v>103.2</v>
      </c>
    </row>
    <row r="69" spans="3:7" x14ac:dyDescent="0.3">
      <c r="C69" s="1">
        <v>43323</v>
      </c>
      <c r="D69">
        <f>(C69-$B$1)/365.25</f>
        <v>24.156057494866531</v>
      </c>
      <c r="E69" s="2">
        <v>106.14</v>
      </c>
    </row>
    <row r="70" spans="3:7" x14ac:dyDescent="0.3">
      <c r="C70" s="1">
        <v>43330</v>
      </c>
      <c r="D70">
        <f>(C70-$B$1)/365.25</f>
        <v>24.175222450376456</v>
      </c>
      <c r="E70" s="2">
        <v>105.78</v>
      </c>
    </row>
    <row r="71" spans="3:7" x14ac:dyDescent="0.3">
      <c r="C71" s="1">
        <v>43616</v>
      </c>
      <c r="D71">
        <f>(C71-$B$1)/365.25</f>
        <v>24.958247775496236</v>
      </c>
      <c r="E71" s="2">
        <v>105.04</v>
      </c>
    </row>
    <row r="72" spans="3:7" x14ac:dyDescent="0.3">
      <c r="C72" s="1">
        <v>43622</v>
      </c>
      <c r="D72">
        <f>(C72-$B$1)/365.25</f>
        <v>24.974674880219027</v>
      </c>
      <c r="E72" s="2">
        <v>103.9</v>
      </c>
    </row>
    <row r="73" spans="3:7" x14ac:dyDescent="0.3">
      <c r="C73" s="1">
        <v>43651</v>
      </c>
      <c r="D73">
        <f>(C73-$B$1)/365.25</f>
        <v>25.054072553045859</v>
      </c>
      <c r="E73" s="2">
        <v>104.14</v>
      </c>
    </row>
    <row r="74" spans="3:7" x14ac:dyDescent="0.3">
      <c r="C74" s="1">
        <v>43658</v>
      </c>
      <c r="D74">
        <f>(C74-$B$1)/365.25</f>
        <v>25.073237508555785</v>
      </c>
      <c r="E74" s="2">
        <v>103.83</v>
      </c>
    </row>
    <row r="75" spans="3:7" x14ac:dyDescent="0.3">
      <c r="C75" s="1">
        <v>43672</v>
      </c>
      <c r="D75">
        <f>(C75-$B$1)/365.25</f>
        <v>25.111567419575632</v>
      </c>
      <c r="E75" s="2">
        <v>109.7</v>
      </c>
      <c r="F75" s="4"/>
    </row>
    <row r="76" spans="3:7" x14ac:dyDescent="0.3">
      <c r="C76" s="1">
        <v>43673</v>
      </c>
      <c r="D76">
        <f>(C76-$B$1)/365.25</f>
        <v>25.114305270362767</v>
      </c>
      <c r="E76" s="2">
        <v>104.63</v>
      </c>
    </row>
    <row r="77" spans="3:7" x14ac:dyDescent="0.3">
      <c r="C77" s="1">
        <v>43701</v>
      </c>
      <c r="D77">
        <f>(C77-$B$1)/365.25</f>
        <v>25.190965092402465</v>
      </c>
      <c r="E77" s="2">
        <v>103.78</v>
      </c>
    </row>
    <row r="78" spans="3:7" x14ac:dyDescent="0.3">
      <c r="C78" s="1">
        <v>43706</v>
      </c>
      <c r="D78">
        <f>(C78-$B$1)/365.25</f>
        <v>25.204654346338124</v>
      </c>
      <c r="E78" s="2">
        <v>103.51</v>
      </c>
    </row>
    <row r="79" spans="3:7" x14ac:dyDescent="0.3">
      <c r="C79" s="1">
        <v>43736</v>
      </c>
      <c r="D79">
        <f>(C79-$B$1)/365.25</f>
        <v>25.286789869952088</v>
      </c>
      <c r="E79" s="2">
        <v>105.96</v>
      </c>
    </row>
    <row r="80" spans="3:7" x14ac:dyDescent="0.3">
      <c r="C80" s="1">
        <v>43737</v>
      </c>
      <c r="D80">
        <f>(C80-$B$1)/365.25</f>
        <v>25.289527720739219</v>
      </c>
      <c r="E80" s="2">
        <v>106.21</v>
      </c>
    </row>
    <row r="83" spans="6:6" x14ac:dyDescent="0.3">
      <c r="F83" s="4"/>
    </row>
  </sheetData>
  <sortState xmlns:xlrd2="http://schemas.microsoft.com/office/spreadsheetml/2017/richdata2" ref="C2:E14">
    <sortCondition ref="C2:C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062D-4486-455F-BC2C-5B7278C377ED}">
  <dimension ref="A1:W80"/>
  <sheetViews>
    <sheetView tabSelected="1" workbookViewId="0">
      <selection activeCell="N31" sqref="N31"/>
    </sheetView>
  </sheetViews>
  <sheetFormatPr defaultRowHeight="14.4" x14ac:dyDescent="0.3"/>
  <cols>
    <col min="1" max="1" width="8.77734375" bestFit="1" customWidth="1"/>
    <col min="2" max="2" width="9.88671875" bestFit="1" customWidth="1"/>
    <col min="8" max="8" width="40.88671875" bestFit="1" customWidth="1"/>
    <col min="9" max="11" width="9" bestFit="1" customWidth="1"/>
    <col min="12" max="12" width="9.6640625" bestFit="1" customWidth="1"/>
    <col min="16" max="16" width="15.88671875" bestFit="1" customWidth="1"/>
    <col min="17" max="17" width="10.3320312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</cols>
  <sheetData>
    <row r="1" spans="1:23" x14ac:dyDescent="0.3">
      <c r="A1" t="s">
        <v>19</v>
      </c>
      <c r="B1" t="s">
        <v>1</v>
      </c>
      <c r="C1" t="s">
        <v>3</v>
      </c>
      <c r="D1" t="s">
        <v>0</v>
      </c>
    </row>
    <row r="2" spans="1:23" x14ac:dyDescent="0.3">
      <c r="B2" s="1"/>
      <c r="C2" s="5" t="e">
        <f>(B2-A1)/365.25</f>
        <v>#VALUE!</v>
      </c>
      <c r="D2" s="2"/>
      <c r="P2" t="s">
        <v>4</v>
      </c>
      <c r="Q2" t="s">
        <v>7</v>
      </c>
      <c r="R2" t="s">
        <v>5</v>
      </c>
      <c r="S2" t="s">
        <v>6</v>
      </c>
      <c r="T2" t="s">
        <v>8</v>
      </c>
      <c r="U2" t="s">
        <v>15</v>
      </c>
      <c r="V2" t="s">
        <v>16</v>
      </c>
      <c r="W2" t="s">
        <v>8</v>
      </c>
    </row>
    <row r="3" spans="1:23" x14ac:dyDescent="0.3">
      <c r="B3" s="1"/>
      <c r="D3" s="2"/>
      <c r="P3">
        <v>2011</v>
      </c>
      <c r="Q3">
        <v>6</v>
      </c>
      <c r="R3">
        <f>ABS(-3931.92-104.5)</f>
        <v>4036.42</v>
      </c>
      <c r="S3">
        <f>ABS(-662951.2-104.5)</f>
        <v>663055.69999999995</v>
      </c>
      <c r="T3" s="3">
        <f>S3/R3</f>
        <v>164.26826247020873</v>
      </c>
      <c r="U3">
        <v>23417.43</v>
      </c>
      <c r="V3" s="6">
        <v>4030922.1</v>
      </c>
      <c r="W3" s="3">
        <f>V3/U3</f>
        <v>172.13341088240682</v>
      </c>
    </row>
    <row r="4" spans="1:23" x14ac:dyDescent="0.3">
      <c r="B4" s="1"/>
      <c r="D4" s="2"/>
      <c r="P4">
        <v>2012</v>
      </c>
      <c r="Q4">
        <v>13</v>
      </c>
      <c r="R4">
        <f>ABS(-139.382)</f>
        <v>139.38200000000001</v>
      </c>
      <c r="S4">
        <f>ABS(-2005.244)</f>
        <v>2005.2439999999999</v>
      </c>
      <c r="T4" s="3">
        <f t="shared" ref="T4:T11" si="0">S4/R4</f>
        <v>14.386678337231492</v>
      </c>
      <c r="U4" s="6">
        <v>943.02549999999997</v>
      </c>
      <c r="V4" s="6">
        <v>320007.94199999998</v>
      </c>
      <c r="W4" s="3">
        <f t="shared" ref="W4:W11" si="1">V4/U4</f>
        <v>339.34176965522141</v>
      </c>
    </row>
    <row r="5" spans="1:23" x14ac:dyDescent="0.3">
      <c r="B5" s="1"/>
      <c r="D5" s="2"/>
      <c r="P5">
        <v>2013</v>
      </c>
      <c r="Q5">
        <v>18</v>
      </c>
      <c r="R5">
        <v>1.5993999999999999</v>
      </c>
      <c r="S5">
        <f>ABS(-124.8992)</f>
        <v>124.89919999999999</v>
      </c>
      <c r="T5" s="3">
        <f t="shared" si="0"/>
        <v>78.09128423158684</v>
      </c>
      <c r="U5" s="6">
        <v>11.1792</v>
      </c>
      <c r="V5" s="6">
        <v>2919.9031</v>
      </c>
      <c r="W5" s="3">
        <f t="shared" si="1"/>
        <v>261.19070237584083</v>
      </c>
    </row>
    <row r="6" spans="1:23" x14ac:dyDescent="0.3">
      <c r="B6" s="1"/>
      <c r="D6" s="2"/>
      <c r="P6">
        <v>2014</v>
      </c>
      <c r="Q6">
        <v>28</v>
      </c>
      <c r="R6">
        <f>ABS(-0.4528)</f>
        <v>0.45279999999999998</v>
      </c>
      <c r="S6">
        <v>2.4843999999999999</v>
      </c>
      <c r="T6" s="3">
        <f t="shared" si="0"/>
        <v>5.4867491166077738</v>
      </c>
      <c r="U6" s="6">
        <v>24.7926</v>
      </c>
      <c r="V6" s="6">
        <v>57.279600000000002</v>
      </c>
      <c r="W6" s="3">
        <f t="shared" si="1"/>
        <v>2.310350669151279</v>
      </c>
    </row>
    <row r="7" spans="1:23" x14ac:dyDescent="0.3">
      <c r="B7" s="1"/>
      <c r="D7" s="2"/>
      <c r="P7">
        <v>2015</v>
      </c>
      <c r="Q7">
        <v>36</v>
      </c>
      <c r="R7">
        <v>2.6132</v>
      </c>
      <c r="S7">
        <v>5.5376000000000003</v>
      </c>
      <c r="T7" s="3">
        <f t="shared" si="0"/>
        <v>2.1190877085565591</v>
      </c>
      <c r="U7" s="6">
        <v>5.0259999999999998</v>
      </c>
      <c r="V7" s="6">
        <v>180.7713</v>
      </c>
      <c r="W7" s="3">
        <f t="shared" si="1"/>
        <v>35.967230401910065</v>
      </c>
    </row>
    <row r="8" spans="1:23" x14ac:dyDescent="0.3">
      <c r="B8" s="1"/>
      <c r="D8" s="2"/>
      <c r="P8">
        <v>2016</v>
      </c>
      <c r="Q8">
        <v>50</v>
      </c>
      <c r="R8">
        <v>1.2924</v>
      </c>
      <c r="S8">
        <v>1.7287999999999999</v>
      </c>
      <c r="T8" s="3">
        <f t="shared" si="0"/>
        <v>1.3376663571649643</v>
      </c>
      <c r="U8" s="6">
        <v>10.5853</v>
      </c>
      <c r="V8" s="6">
        <v>29.055900000000001</v>
      </c>
      <c r="W8" s="3">
        <f t="shared" si="1"/>
        <v>2.744929288730598</v>
      </c>
    </row>
    <row r="9" spans="1:23" x14ac:dyDescent="0.3">
      <c r="B9" s="1"/>
      <c r="D9" s="2"/>
      <c r="P9">
        <v>2017</v>
      </c>
      <c r="Q9">
        <v>61</v>
      </c>
      <c r="R9">
        <v>1.6772</v>
      </c>
      <c r="S9">
        <v>1.6064000000000001</v>
      </c>
      <c r="T9" s="3">
        <f t="shared" si="0"/>
        <v>0.95778678750298119</v>
      </c>
      <c r="U9" s="6">
        <v>2.7231000000000001</v>
      </c>
      <c r="V9" s="6">
        <v>18.304099999999998</v>
      </c>
      <c r="W9" s="3">
        <f t="shared" si="1"/>
        <v>6.721787668466086</v>
      </c>
    </row>
    <row r="10" spans="1:23" x14ac:dyDescent="0.3">
      <c r="B10" s="1"/>
      <c r="D10" s="2"/>
      <c r="P10">
        <v>2018</v>
      </c>
      <c r="Q10">
        <v>69</v>
      </c>
      <c r="R10">
        <v>1.7594000000000001</v>
      </c>
      <c r="S10">
        <v>1.1066</v>
      </c>
      <c r="T10" s="3">
        <f t="shared" si="0"/>
        <v>0.62896441968853012</v>
      </c>
      <c r="U10" s="6">
        <v>0.45939999999999998</v>
      </c>
      <c r="V10" s="6">
        <v>14.9497</v>
      </c>
      <c r="W10" s="3">
        <f t="shared" si="1"/>
        <v>32.541793643883331</v>
      </c>
    </row>
    <row r="11" spans="1:23" x14ac:dyDescent="0.3">
      <c r="B11" s="1"/>
      <c r="D11" s="2"/>
      <c r="P11">
        <v>2019</v>
      </c>
      <c r="Q11">
        <v>79</v>
      </c>
      <c r="R11">
        <v>1.7514000000000001</v>
      </c>
      <c r="S11">
        <v>1.581</v>
      </c>
      <c r="T11" s="3">
        <f t="shared" si="0"/>
        <v>0.9027064063035285</v>
      </c>
      <c r="U11" s="6">
        <v>0.71689999999999998</v>
      </c>
      <c r="V11" s="6">
        <v>1.4836</v>
      </c>
      <c r="W11" s="3">
        <f t="shared" si="1"/>
        <v>2.0694657553354721</v>
      </c>
    </row>
    <row r="12" spans="1:23" x14ac:dyDescent="0.3">
      <c r="B12" s="1"/>
      <c r="D12" s="2"/>
    </row>
    <row r="13" spans="1:23" x14ac:dyDescent="0.3">
      <c r="B13" s="1"/>
      <c r="D13" s="2"/>
    </row>
    <row r="14" spans="1:23" x14ac:dyDescent="0.3">
      <c r="B14" s="1"/>
      <c r="D14" s="2"/>
      <c r="Q14">
        <v>22</v>
      </c>
      <c r="R14">
        <v>22</v>
      </c>
      <c r="S14">
        <v>29</v>
      </c>
      <c r="T14">
        <v>29</v>
      </c>
    </row>
    <row r="15" spans="1:23" x14ac:dyDescent="0.3">
      <c r="B15" s="1"/>
      <c r="D15" s="2"/>
      <c r="Q15">
        <f>0.0686*Q14^2-3.5655*Q14+151.49</f>
        <v>106.2514</v>
      </c>
      <c r="R15">
        <f>0.0065*R14^3-0.3458*R14^2+5.1481*R14+90.978</f>
        <v>106.081</v>
      </c>
      <c r="S15">
        <f>0.0686*S14^2-3.5655*S14+151.49</f>
        <v>105.7831</v>
      </c>
      <c r="T15">
        <f>0.0065*T14^3-0.3458*T14^2+5.1481*T14+90.978</f>
        <v>107.98360000000001</v>
      </c>
    </row>
    <row r="16" spans="1:23" x14ac:dyDescent="0.3">
      <c r="B16" s="1"/>
      <c r="D16" s="2"/>
      <c r="Q16">
        <f>Q15-104.5</f>
        <v>1.7514000000000038</v>
      </c>
      <c r="R16">
        <f>R15-104.5</f>
        <v>1.5810000000000031</v>
      </c>
      <c r="S16">
        <f>S15-106.5</f>
        <v>-0.71689999999999543</v>
      </c>
      <c r="T16">
        <f>T15-106.5</f>
        <v>1.4836000000000098</v>
      </c>
    </row>
    <row r="17" spans="2:9" x14ac:dyDescent="0.3">
      <c r="B17" s="1"/>
      <c r="D17" s="2"/>
    </row>
    <row r="18" spans="2:9" x14ac:dyDescent="0.3">
      <c r="B18" s="1"/>
      <c r="D18" s="2"/>
    </row>
    <row r="19" spans="2:9" x14ac:dyDescent="0.3">
      <c r="B19" s="1"/>
      <c r="D19" s="2"/>
    </row>
    <row r="20" spans="2:9" x14ac:dyDescent="0.3">
      <c r="B20" s="1"/>
      <c r="D20" s="2"/>
    </row>
    <row r="21" spans="2:9" x14ac:dyDescent="0.3">
      <c r="B21" s="1"/>
      <c r="D21" s="2"/>
    </row>
    <row r="22" spans="2:9" x14ac:dyDescent="0.3">
      <c r="B22" s="1"/>
      <c r="D22" s="2"/>
    </row>
    <row r="23" spans="2:9" x14ac:dyDescent="0.3">
      <c r="B23" s="1"/>
      <c r="D23" s="2"/>
    </row>
    <row r="24" spans="2:9" x14ac:dyDescent="0.3">
      <c r="B24" s="1"/>
      <c r="D24" s="2"/>
      <c r="H24" t="s">
        <v>9</v>
      </c>
      <c r="I24" t="s">
        <v>2</v>
      </c>
    </row>
    <row r="25" spans="2:9" x14ac:dyDescent="0.3">
      <c r="B25" s="1"/>
      <c r="D25" s="2"/>
      <c r="H25">
        <v>17</v>
      </c>
      <c r="I25">
        <v>110.34</v>
      </c>
    </row>
    <row r="26" spans="2:9" x14ac:dyDescent="0.3">
      <c r="B26" s="1"/>
      <c r="D26" s="2"/>
      <c r="H26">
        <v>18</v>
      </c>
      <c r="I26">
        <v>109.59</v>
      </c>
    </row>
    <row r="27" spans="2:9" x14ac:dyDescent="0.3">
      <c r="B27" s="1"/>
      <c r="D27" s="2"/>
      <c r="H27">
        <v>19</v>
      </c>
      <c r="I27">
        <v>109.18</v>
      </c>
    </row>
    <row r="28" spans="2:9" x14ac:dyDescent="0.3">
      <c r="B28" s="1"/>
      <c r="D28" s="2"/>
      <c r="H28">
        <v>20</v>
      </c>
      <c r="I28">
        <v>107.48</v>
      </c>
    </row>
    <row r="29" spans="2:9" x14ac:dyDescent="0.3">
      <c r="B29" s="1"/>
      <c r="D29" s="2"/>
      <c r="H29">
        <v>21</v>
      </c>
      <c r="I29">
        <v>107.47</v>
      </c>
    </row>
    <row r="30" spans="2:9" x14ac:dyDescent="0.3">
      <c r="B30" s="1"/>
      <c r="D30" s="2"/>
      <c r="H30">
        <v>22</v>
      </c>
      <c r="I30">
        <v>105.65</v>
      </c>
    </row>
    <row r="31" spans="2:9" x14ac:dyDescent="0.3">
      <c r="B31" s="1"/>
      <c r="D31" s="2"/>
      <c r="H31">
        <v>23</v>
      </c>
      <c r="I31">
        <v>105.83</v>
      </c>
    </row>
    <row r="32" spans="2:9" x14ac:dyDescent="0.3">
      <c r="B32" s="1"/>
      <c r="D32" s="2"/>
      <c r="H32">
        <v>24</v>
      </c>
      <c r="I32">
        <v>105.92</v>
      </c>
    </row>
    <row r="33" spans="2:12" x14ac:dyDescent="0.3">
      <c r="B33" s="1"/>
      <c r="D33" s="2"/>
      <c r="H33">
        <v>25</v>
      </c>
      <c r="I33">
        <v>105.07</v>
      </c>
    </row>
    <row r="34" spans="2:12" x14ac:dyDescent="0.3">
      <c r="B34" s="1"/>
      <c r="D34" s="2"/>
    </row>
    <row r="35" spans="2:12" x14ac:dyDescent="0.3">
      <c r="B35" s="1"/>
      <c r="D35" s="2"/>
      <c r="H35" t="s">
        <v>20</v>
      </c>
      <c r="I35" t="s">
        <v>12</v>
      </c>
      <c r="J35" t="s">
        <v>13</v>
      </c>
      <c r="K35" t="s">
        <v>14</v>
      </c>
    </row>
    <row r="36" spans="2:12" x14ac:dyDescent="0.3">
      <c r="B36" s="1"/>
      <c r="D36" s="2"/>
      <c r="H36" t="s">
        <v>10</v>
      </c>
      <c r="I36">
        <f>0.0513*22^2-2.8297*22+143.87</f>
        <v>106.44580000000001</v>
      </c>
      <c r="J36">
        <f>0.01*22^3-0.5814*22^2+10.337*22+53.36</f>
        <v>105.85639999999999</v>
      </c>
      <c r="K36">
        <f>0.0032*22^4-0.2337*22^3+6.2275*22^2-73.246*22+433.66</f>
        <v>97.539600000000689</v>
      </c>
      <c r="L36" s="5" t="s">
        <v>17</v>
      </c>
    </row>
    <row r="37" spans="2:12" x14ac:dyDescent="0.3">
      <c r="B37" s="1"/>
      <c r="D37" s="2"/>
      <c r="H37" t="s">
        <v>11</v>
      </c>
      <c r="I37">
        <f>0.0513*29^2-2.8297*29+143.87</f>
        <v>104.952</v>
      </c>
      <c r="J37">
        <f>0.01*29^3-0.5814*29^2+10.337*29+53.36</f>
        <v>108.06559999999998</v>
      </c>
      <c r="K37">
        <f>0.0032*29^4-0.2337*29^3+6.2275*29^2-73.246*29+433.66</f>
        <v>110.44340000000074</v>
      </c>
      <c r="L37" t="s">
        <v>18</v>
      </c>
    </row>
    <row r="38" spans="2:12" x14ac:dyDescent="0.3">
      <c r="B38" s="1"/>
      <c r="D38" s="2"/>
      <c r="I38">
        <f>(I37+J37)/2</f>
        <v>106.50879999999998</v>
      </c>
    </row>
    <row r="39" spans="2:12" x14ac:dyDescent="0.3">
      <c r="B39" s="1"/>
      <c r="D39" s="2"/>
    </row>
    <row r="40" spans="2:12" x14ac:dyDescent="0.3">
      <c r="B40" s="1"/>
      <c r="D40" s="2"/>
    </row>
    <row r="41" spans="2:12" x14ac:dyDescent="0.3">
      <c r="B41" s="1"/>
      <c r="D41" s="2"/>
    </row>
    <row r="42" spans="2:12" x14ac:dyDescent="0.3">
      <c r="B42" s="1"/>
      <c r="D42" s="2"/>
    </row>
    <row r="43" spans="2:12" x14ac:dyDescent="0.3">
      <c r="B43" s="1"/>
      <c r="D43" s="2"/>
    </row>
    <row r="44" spans="2:12" x14ac:dyDescent="0.3">
      <c r="B44" s="1"/>
      <c r="D44" s="2"/>
    </row>
    <row r="45" spans="2:12" x14ac:dyDescent="0.3">
      <c r="B45" s="1"/>
      <c r="D45" s="2"/>
    </row>
    <row r="46" spans="2:12" x14ac:dyDescent="0.3">
      <c r="B46" s="1"/>
      <c r="D46" s="2"/>
    </row>
    <row r="47" spans="2:12" x14ac:dyDescent="0.3">
      <c r="B47" s="1"/>
      <c r="D47" s="2"/>
    </row>
    <row r="48" spans="2:12" x14ac:dyDescent="0.3">
      <c r="B48" s="1"/>
      <c r="D48" s="2"/>
    </row>
    <row r="49" spans="2:4" x14ac:dyDescent="0.3">
      <c r="B49" s="1"/>
      <c r="D49" s="2"/>
    </row>
    <row r="50" spans="2:4" x14ac:dyDescent="0.3">
      <c r="B50" s="1"/>
      <c r="D50" s="2"/>
    </row>
    <row r="51" spans="2:4" x14ac:dyDescent="0.3">
      <c r="B51" s="1"/>
      <c r="D51" s="2"/>
    </row>
    <row r="52" spans="2:4" x14ac:dyDescent="0.3">
      <c r="B52" s="1"/>
      <c r="D52" s="2"/>
    </row>
    <row r="53" spans="2:4" x14ac:dyDescent="0.3">
      <c r="B53" s="1"/>
      <c r="D53" s="2"/>
    </row>
    <row r="54" spans="2:4" x14ac:dyDescent="0.3">
      <c r="B54" s="1"/>
      <c r="D54" s="2"/>
    </row>
    <row r="55" spans="2:4" x14ac:dyDescent="0.3">
      <c r="B55" s="1"/>
      <c r="D55" s="2"/>
    </row>
    <row r="56" spans="2:4" x14ac:dyDescent="0.3">
      <c r="B56" s="1"/>
      <c r="D56" s="2"/>
    </row>
    <row r="57" spans="2:4" x14ac:dyDescent="0.3">
      <c r="B57" s="1"/>
      <c r="D57" s="2"/>
    </row>
    <row r="58" spans="2:4" x14ac:dyDescent="0.3">
      <c r="B58" s="1"/>
      <c r="D58" s="2"/>
    </row>
    <row r="59" spans="2:4" x14ac:dyDescent="0.3">
      <c r="B59" s="1"/>
      <c r="D59" s="2"/>
    </row>
    <row r="60" spans="2:4" x14ac:dyDescent="0.3">
      <c r="B60" s="1"/>
      <c r="D60" s="2"/>
    </row>
    <row r="61" spans="2:4" x14ac:dyDescent="0.3">
      <c r="B61" s="1"/>
      <c r="D61" s="2"/>
    </row>
    <row r="62" spans="2:4" x14ac:dyDescent="0.3">
      <c r="B62" s="1"/>
      <c r="D62" s="2"/>
    </row>
    <row r="63" spans="2:4" x14ac:dyDescent="0.3">
      <c r="B63" s="1"/>
      <c r="D63" s="2"/>
    </row>
    <row r="64" spans="2:4" x14ac:dyDescent="0.3">
      <c r="B64" s="1"/>
      <c r="D64" s="2"/>
    </row>
    <row r="65" spans="2:4" x14ac:dyDescent="0.3">
      <c r="B65" s="1"/>
      <c r="D65" s="2"/>
    </row>
    <row r="66" spans="2:4" x14ac:dyDescent="0.3">
      <c r="B66" s="1"/>
      <c r="D66" s="2"/>
    </row>
    <row r="67" spans="2:4" x14ac:dyDescent="0.3">
      <c r="B67" s="1"/>
      <c r="D67" s="2"/>
    </row>
    <row r="68" spans="2:4" x14ac:dyDescent="0.3">
      <c r="B68" s="1"/>
      <c r="D68" s="2"/>
    </row>
    <row r="69" spans="2:4" x14ac:dyDescent="0.3">
      <c r="B69" s="1"/>
      <c r="D69" s="2"/>
    </row>
    <row r="70" spans="2:4" x14ac:dyDescent="0.3">
      <c r="B70" s="1"/>
      <c r="D70" s="2"/>
    </row>
    <row r="71" spans="2:4" x14ac:dyDescent="0.3">
      <c r="B71" s="1"/>
      <c r="D71" s="2"/>
    </row>
    <row r="72" spans="2:4" x14ac:dyDescent="0.3">
      <c r="B72" s="1"/>
      <c r="D72" s="2"/>
    </row>
    <row r="73" spans="2:4" x14ac:dyDescent="0.3">
      <c r="B73" s="1"/>
      <c r="D73" s="2"/>
    </row>
    <row r="74" spans="2:4" x14ac:dyDescent="0.3">
      <c r="B74" s="1"/>
      <c r="D74" s="2"/>
    </row>
    <row r="75" spans="2:4" x14ac:dyDescent="0.3">
      <c r="B75" s="1"/>
      <c r="D75" s="2"/>
    </row>
    <row r="76" spans="2:4" x14ac:dyDescent="0.3">
      <c r="B76" s="1"/>
      <c r="D76" s="2"/>
    </row>
    <row r="77" spans="2:4" x14ac:dyDescent="0.3">
      <c r="B77" s="1"/>
      <c r="D77" s="2"/>
    </row>
    <row r="78" spans="2:4" x14ac:dyDescent="0.3">
      <c r="B78" s="1"/>
      <c r="D78" s="2"/>
    </row>
    <row r="79" spans="2:4" x14ac:dyDescent="0.3">
      <c r="B79" s="1"/>
      <c r="D79" s="2"/>
    </row>
    <row r="80" spans="2:4" x14ac:dyDescent="0.3">
      <c r="B80" s="1"/>
      <c r="D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McBride Analysis</vt:lpstr>
      <vt:lpstr>Rudisha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Larsen</dc:creator>
  <cp:lastModifiedBy>Alec Larsen</cp:lastModifiedBy>
  <dcterms:created xsi:type="dcterms:W3CDTF">2021-01-21T15:30:50Z</dcterms:created>
  <dcterms:modified xsi:type="dcterms:W3CDTF">2021-01-21T21:54:32Z</dcterms:modified>
</cp:coreProperties>
</file>