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ynearwealth-my.sharepoint.com/personal/muditha_lynearwealth_com/Documents/Others/PDFTableMaster/Test Files/"/>
    </mc:Choice>
  </mc:AlternateContent>
  <xr:revisionPtr revIDLastSave="3" documentId="11_194212C8410291964603B85FE270EC2FBBEBBE63" xr6:coauthVersionLast="47" xr6:coauthVersionMax="47" xr10:uidLastSave="{797639EB-6CE8-4DC0-AE1C-6F5A19F2FD79}"/>
  <bookViews>
    <workbookView xWindow="3810" yWindow="2790" windowWidth="19230" windowHeight="11100" firstSheet="1" activeTab="1" xr2:uid="{00000000-000D-0000-FFFF-FFFF00000000}"/>
  </bookViews>
  <sheets>
    <sheet name="Tbills" sheetId="1" r:id="rId1"/>
    <sheet name="Bill subs" sheetId="3" r:id="rId2"/>
  </sheets>
  <externalReferences>
    <externalReference r:id="rId3"/>
    <externalReference r:id="rId4"/>
  </externalReferences>
  <definedNames>
    <definedName name="__TAB2">[1]A!$B$6:$H$113</definedName>
    <definedName name="_1__123Graph_ACHART_11" hidden="1">[1]A!$D$60:$D$119</definedName>
    <definedName name="_11__123Graph_XCHART_11" hidden="1">[1]A!$B$60:$B$119</definedName>
    <definedName name="_12__123Graph_XCHART_12" hidden="1">[1]A!$B$60:$B$119</definedName>
    <definedName name="_2__123Graph_ACHART_12" hidden="1">[1]A!$E$60:$E$119</definedName>
    <definedName name="_5__123Graph_BCHART_11" hidden="1">[1]A!$C$60:$C$119</definedName>
    <definedName name="_6__123Graph_BCHART_12" hidden="1">[1]A!$F$60:$F$119</definedName>
    <definedName name="_TAB2">[1]A!$B$6:$H$113</definedName>
    <definedName name="G1_">#N/A</definedName>
    <definedName name="ME_20_June">'[2]Diary 2019'!#REF!</definedName>
    <definedName name="ME_Jul_17">'[2]Diary 2019'!#REF!</definedName>
    <definedName name="ME_Jul_20">'[2]Diary 2019'!#REF!</definedName>
    <definedName name="ME_Jul_23">'[2]Diary 2019'!#REF!</definedName>
    <definedName name="ME_JUl_3">'[2]Diary 2019'!#REF!</definedName>
    <definedName name="ME_NTB_25_Jul">'[2]Diary 2019'!#REF!</definedName>
    <definedName name="ME_personal_12Jun">'[2]Diary 2019'!#REF!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1" i="3" l="1"/>
  <c r="F251" i="3" s="1"/>
  <c r="C251" i="3"/>
  <c r="B251" i="3"/>
  <c r="D250" i="3"/>
  <c r="F250" i="3" s="1"/>
  <c r="C250" i="3"/>
  <c r="B250" i="3"/>
  <c r="D249" i="3"/>
  <c r="C249" i="3"/>
  <c r="B249" i="3"/>
  <c r="F249" i="3" s="1"/>
  <c r="D248" i="3"/>
  <c r="C248" i="3"/>
  <c r="B248" i="3"/>
  <c r="E248" i="3" s="1"/>
  <c r="D247" i="3"/>
  <c r="C247" i="3"/>
  <c r="B247" i="3"/>
  <c r="D246" i="3"/>
  <c r="F246" i="3" s="1"/>
  <c r="C246" i="3"/>
  <c r="B246" i="3"/>
  <c r="D245" i="3"/>
  <c r="C245" i="3"/>
  <c r="B245" i="3"/>
  <c r="D244" i="3"/>
  <c r="C244" i="3"/>
  <c r="B244" i="3"/>
  <c r="F244" i="3" s="1"/>
  <c r="D243" i="3"/>
  <c r="C243" i="3"/>
  <c r="B243" i="3"/>
  <c r="D242" i="3"/>
  <c r="F242" i="3" s="1"/>
  <c r="C242" i="3"/>
  <c r="B242" i="3"/>
  <c r="F241" i="3"/>
  <c r="E241" i="3"/>
  <c r="D241" i="3"/>
  <c r="C241" i="3"/>
  <c r="B241" i="3"/>
  <c r="D240" i="3"/>
  <c r="E240" i="3" s="1"/>
  <c r="C240" i="3"/>
  <c r="B240" i="3"/>
  <c r="F240" i="3" s="1"/>
  <c r="D239" i="3"/>
  <c r="E239" i="3" s="1"/>
  <c r="C239" i="3"/>
  <c r="B239" i="3"/>
  <c r="D238" i="3"/>
  <c r="C238" i="3"/>
  <c r="B238" i="3"/>
  <c r="E238" i="3" s="1"/>
  <c r="F237" i="3"/>
  <c r="D237" i="3"/>
  <c r="C237" i="3"/>
  <c r="B237" i="3"/>
  <c r="E237" i="3" s="1"/>
  <c r="D236" i="3"/>
  <c r="F236" i="3" s="1"/>
  <c r="C236" i="3"/>
  <c r="B236" i="3"/>
  <c r="D235" i="3"/>
  <c r="C235" i="3"/>
  <c r="B235" i="3"/>
  <c r="D234" i="3"/>
  <c r="C234" i="3"/>
  <c r="B234" i="3"/>
  <c r="D233" i="3"/>
  <c r="E233" i="3" s="1"/>
  <c r="C233" i="3"/>
  <c r="B233" i="3"/>
  <c r="D232" i="3"/>
  <c r="F232" i="3" s="1"/>
  <c r="C232" i="3"/>
  <c r="B232" i="3"/>
  <c r="D231" i="3"/>
  <c r="C231" i="3"/>
  <c r="B231" i="3"/>
  <c r="F231" i="3" s="1"/>
  <c r="D230" i="3"/>
  <c r="F230" i="3" s="1"/>
  <c r="C230" i="3"/>
  <c r="B230" i="3"/>
  <c r="D229" i="3"/>
  <c r="C229" i="3"/>
  <c r="B229" i="3"/>
  <c r="D228" i="3"/>
  <c r="F228" i="3" s="1"/>
  <c r="C228" i="3"/>
  <c r="B228" i="3"/>
  <c r="D227" i="3"/>
  <c r="F227" i="3" s="1"/>
  <c r="C227" i="3"/>
  <c r="B227" i="3"/>
  <c r="D226" i="3"/>
  <c r="F226" i="3" s="1"/>
  <c r="C226" i="3"/>
  <c r="B226" i="3"/>
  <c r="D225" i="3"/>
  <c r="E225" i="3" s="1"/>
  <c r="C225" i="3"/>
  <c r="B225" i="3"/>
  <c r="D224" i="3"/>
  <c r="C224" i="3"/>
  <c r="B224" i="3"/>
  <c r="E224" i="3" s="1"/>
  <c r="D223" i="3"/>
  <c r="C223" i="3"/>
  <c r="B223" i="3"/>
  <c r="F223" i="3" s="1"/>
  <c r="D222" i="3"/>
  <c r="C222" i="3"/>
  <c r="B222" i="3"/>
  <c r="D221" i="3"/>
  <c r="E221" i="3" s="1"/>
  <c r="C221" i="3"/>
  <c r="B221" i="3"/>
  <c r="D220" i="3"/>
  <c r="C220" i="3"/>
  <c r="B220" i="3"/>
  <c r="D219" i="3"/>
  <c r="C219" i="3"/>
  <c r="B219" i="3"/>
  <c r="F218" i="3"/>
  <c r="E218" i="3"/>
  <c r="D218" i="3"/>
  <c r="C218" i="3"/>
  <c r="B218" i="3"/>
  <c r="D217" i="3"/>
  <c r="C217" i="3"/>
  <c r="B217" i="3"/>
  <c r="D216" i="3"/>
  <c r="C216" i="3"/>
  <c r="B216" i="3"/>
  <c r="E216" i="3" s="1"/>
  <c r="D215" i="3"/>
  <c r="C215" i="3"/>
  <c r="B215" i="3"/>
  <c r="F215" i="3" s="1"/>
  <c r="D214" i="3"/>
  <c r="F214" i="3" s="1"/>
  <c r="C214" i="3"/>
  <c r="B214" i="3"/>
  <c r="D213" i="3"/>
  <c r="E213" i="3" s="1"/>
  <c r="C213" i="3"/>
  <c r="B213" i="3"/>
  <c r="D212" i="3"/>
  <c r="C212" i="3"/>
  <c r="B212" i="3"/>
  <c r="D211" i="3"/>
  <c r="F211" i="3" s="1"/>
  <c r="C211" i="3"/>
  <c r="B211" i="3"/>
  <c r="D210" i="3"/>
  <c r="E210" i="3" s="1"/>
  <c r="C210" i="3"/>
  <c r="B210" i="3"/>
  <c r="F210" i="3" s="1"/>
  <c r="F209" i="3"/>
  <c r="D209" i="3"/>
  <c r="C209" i="3"/>
  <c r="B209" i="3"/>
  <c r="D208" i="3"/>
  <c r="C208" i="3"/>
  <c r="B208" i="3"/>
  <c r="D207" i="3"/>
  <c r="C207" i="3"/>
  <c r="B207" i="3"/>
  <c r="D206" i="3"/>
  <c r="F206" i="3" s="1"/>
  <c r="C206" i="3"/>
  <c r="B206" i="3"/>
  <c r="D205" i="3"/>
  <c r="C205" i="3"/>
  <c r="B205" i="3"/>
  <c r="D204" i="3"/>
  <c r="F204" i="3" s="1"/>
  <c r="C204" i="3"/>
  <c r="B204" i="3"/>
  <c r="D203" i="3"/>
  <c r="F203" i="3" s="1"/>
  <c r="C203" i="3"/>
  <c r="B203" i="3"/>
  <c r="D202" i="3"/>
  <c r="F202" i="3" s="1"/>
  <c r="C202" i="3"/>
  <c r="B202" i="3"/>
  <c r="D201" i="3"/>
  <c r="C201" i="3"/>
  <c r="B201" i="3"/>
  <c r="F201" i="3" s="1"/>
  <c r="D200" i="3"/>
  <c r="F200" i="3" s="1"/>
  <c r="C200" i="3"/>
  <c r="B200" i="3"/>
  <c r="D199" i="3"/>
  <c r="C199" i="3"/>
  <c r="B199" i="3"/>
  <c r="D198" i="3"/>
  <c r="C198" i="3"/>
  <c r="B198" i="3"/>
  <c r="D197" i="3"/>
  <c r="E197" i="3" s="1"/>
  <c r="C197" i="3"/>
  <c r="B197" i="3"/>
  <c r="D196" i="3"/>
  <c r="F196" i="3" s="1"/>
  <c r="C196" i="3"/>
  <c r="B196" i="3"/>
  <c r="D195" i="3"/>
  <c r="C195" i="3"/>
  <c r="B195" i="3"/>
  <c r="D194" i="3"/>
  <c r="F194" i="3" s="1"/>
  <c r="C194" i="3"/>
  <c r="B194" i="3"/>
  <c r="D193" i="3"/>
  <c r="E193" i="3" s="1"/>
  <c r="C193" i="3"/>
  <c r="B193" i="3"/>
  <c r="D192" i="3"/>
  <c r="F192" i="3" s="1"/>
  <c r="C192" i="3"/>
  <c r="B192" i="3"/>
  <c r="D191" i="3"/>
  <c r="C191" i="3"/>
  <c r="B191" i="3"/>
  <c r="E191" i="3" s="1"/>
  <c r="D190" i="3"/>
  <c r="F190" i="3" s="1"/>
  <c r="C190" i="3"/>
  <c r="B190" i="3"/>
  <c r="D189" i="3"/>
  <c r="E189" i="3" s="1"/>
  <c r="C189" i="3"/>
  <c r="B189" i="3"/>
  <c r="D188" i="3"/>
  <c r="C188" i="3"/>
  <c r="B188" i="3"/>
  <c r="D187" i="3"/>
  <c r="C187" i="3"/>
  <c r="B187" i="3"/>
  <c r="D186" i="3"/>
  <c r="F186" i="3" s="1"/>
  <c r="C186" i="3"/>
  <c r="B186" i="3"/>
  <c r="D185" i="3"/>
  <c r="E185" i="3" s="1"/>
  <c r="C185" i="3"/>
  <c r="B185" i="3"/>
  <c r="D184" i="3"/>
  <c r="C184" i="3"/>
  <c r="B184" i="3"/>
  <c r="D183" i="3"/>
  <c r="F183" i="3" s="1"/>
  <c r="C183" i="3"/>
  <c r="B183" i="3"/>
  <c r="D182" i="3"/>
  <c r="F182" i="3" s="1"/>
  <c r="C182" i="3"/>
  <c r="B182" i="3"/>
  <c r="D181" i="3"/>
  <c r="C181" i="3"/>
  <c r="B181" i="3"/>
  <c r="D180" i="3"/>
  <c r="C180" i="3"/>
  <c r="B180" i="3"/>
  <c r="D179" i="3"/>
  <c r="C179" i="3"/>
  <c r="B179" i="3"/>
  <c r="F178" i="3"/>
  <c r="E178" i="3"/>
  <c r="D178" i="3"/>
  <c r="C178" i="3"/>
  <c r="B178" i="3"/>
  <c r="D177" i="3"/>
  <c r="C177" i="3"/>
  <c r="B177" i="3"/>
  <c r="D176" i="3"/>
  <c r="F176" i="3" s="1"/>
  <c r="C176" i="3"/>
  <c r="B176" i="3"/>
  <c r="E175" i="3"/>
  <c r="D175" i="3"/>
  <c r="C175" i="3"/>
  <c r="B175" i="3"/>
  <c r="D174" i="3"/>
  <c r="C174" i="3"/>
  <c r="B174" i="3"/>
  <c r="D173" i="3"/>
  <c r="E173" i="3" s="1"/>
  <c r="C173" i="3"/>
  <c r="B173" i="3"/>
  <c r="D172" i="3"/>
  <c r="C172" i="3"/>
  <c r="B172" i="3"/>
  <c r="D171" i="3"/>
  <c r="F171" i="3" s="1"/>
  <c r="C171" i="3"/>
  <c r="B171" i="3"/>
  <c r="D170" i="3"/>
  <c r="E170" i="3" s="1"/>
  <c r="C170" i="3"/>
  <c r="B170" i="3"/>
  <c r="F170" i="3" s="1"/>
  <c r="F169" i="3"/>
  <c r="D169" i="3"/>
  <c r="C169" i="3"/>
  <c r="B169" i="3"/>
  <c r="D168" i="3"/>
  <c r="C168" i="3"/>
  <c r="B168" i="3"/>
  <c r="D167" i="3"/>
  <c r="F167" i="3" s="1"/>
  <c r="C167" i="3"/>
  <c r="B167" i="3"/>
  <c r="D166" i="3"/>
  <c r="C166" i="3"/>
  <c r="B166" i="3"/>
  <c r="D165" i="3"/>
  <c r="C165" i="3"/>
  <c r="B165" i="3"/>
  <c r="F165" i="3" s="1"/>
  <c r="D164" i="3"/>
  <c r="C164" i="3"/>
  <c r="B164" i="3"/>
  <c r="D163" i="3"/>
  <c r="C163" i="3"/>
  <c r="B163" i="3"/>
  <c r="F162" i="3"/>
  <c r="E162" i="3"/>
  <c r="D162" i="3"/>
  <c r="C162" i="3"/>
  <c r="B162" i="3"/>
  <c r="D161" i="3"/>
  <c r="C161" i="3"/>
  <c r="B161" i="3"/>
  <c r="D160" i="3"/>
  <c r="F160" i="3" s="1"/>
  <c r="C160" i="3"/>
  <c r="B160" i="3"/>
  <c r="D159" i="3"/>
  <c r="C159" i="3"/>
  <c r="B159" i="3"/>
  <c r="E159" i="3" s="1"/>
  <c r="D158" i="3"/>
  <c r="C158" i="3"/>
  <c r="B158" i="3"/>
  <c r="D157" i="3"/>
  <c r="C157" i="3"/>
  <c r="B157" i="3"/>
  <c r="D156" i="3"/>
  <c r="C156" i="3"/>
  <c r="B156" i="3"/>
  <c r="E155" i="3"/>
  <c r="D155" i="3"/>
  <c r="F155" i="3" s="1"/>
  <c r="C155" i="3"/>
  <c r="B155" i="3"/>
  <c r="D154" i="3"/>
  <c r="E154" i="3" s="1"/>
  <c r="C154" i="3"/>
  <c r="B154" i="3"/>
  <c r="D153" i="3"/>
  <c r="C153" i="3"/>
  <c r="B153" i="3"/>
  <c r="D152" i="3"/>
  <c r="C152" i="3"/>
  <c r="B152" i="3"/>
  <c r="D151" i="3"/>
  <c r="F151" i="3" s="1"/>
  <c r="C151" i="3"/>
  <c r="B151" i="3"/>
  <c r="D150" i="3"/>
  <c r="C150" i="3"/>
  <c r="B150" i="3"/>
  <c r="E150" i="3" s="1"/>
  <c r="D149" i="3"/>
  <c r="C149" i="3"/>
  <c r="B149" i="3"/>
  <c r="F149" i="3" s="1"/>
  <c r="D148" i="3"/>
  <c r="C148" i="3"/>
  <c r="B148" i="3"/>
  <c r="D147" i="3"/>
  <c r="C147" i="3"/>
  <c r="B147" i="3"/>
  <c r="F146" i="3"/>
  <c r="E146" i="3"/>
  <c r="D146" i="3"/>
  <c r="C146" i="3"/>
  <c r="B146" i="3"/>
  <c r="D145" i="3"/>
  <c r="C145" i="3"/>
  <c r="B145" i="3"/>
  <c r="F145" i="3" s="1"/>
  <c r="D144" i="3"/>
  <c r="C144" i="3"/>
  <c r="B144" i="3"/>
  <c r="D143" i="3"/>
  <c r="F143" i="3" s="1"/>
  <c r="C143" i="3"/>
  <c r="B143" i="3"/>
  <c r="F142" i="3"/>
  <c r="D142" i="3"/>
  <c r="E142" i="3" s="1"/>
  <c r="C142" i="3"/>
  <c r="B142" i="3"/>
  <c r="D141" i="3"/>
  <c r="C141" i="3"/>
  <c r="B141" i="3"/>
  <c r="D140" i="3"/>
  <c r="C140" i="3"/>
  <c r="B140" i="3"/>
  <c r="D139" i="3"/>
  <c r="F139" i="3" s="1"/>
  <c r="C139" i="3"/>
  <c r="B139" i="3"/>
  <c r="D138" i="3"/>
  <c r="F138" i="3" s="1"/>
  <c r="C138" i="3"/>
  <c r="B138" i="3"/>
  <c r="D137" i="3"/>
  <c r="C137" i="3"/>
  <c r="B137" i="3"/>
  <c r="D136" i="3"/>
  <c r="C136" i="3"/>
  <c r="B136" i="3"/>
  <c r="D135" i="3"/>
  <c r="E135" i="3" s="1"/>
  <c r="C135" i="3"/>
  <c r="B135" i="3"/>
  <c r="D134" i="3"/>
  <c r="C134" i="3"/>
  <c r="B134" i="3"/>
  <c r="F134" i="3" s="1"/>
  <c r="D133" i="3"/>
  <c r="E133" i="3" s="1"/>
  <c r="C133" i="3"/>
  <c r="B133" i="3"/>
  <c r="D132" i="3"/>
  <c r="F132" i="3" s="1"/>
  <c r="C132" i="3"/>
  <c r="B132" i="3"/>
  <c r="D131" i="3"/>
  <c r="C131" i="3"/>
  <c r="B131" i="3"/>
  <c r="D130" i="3"/>
  <c r="C130" i="3"/>
  <c r="B130" i="3"/>
  <c r="D129" i="3"/>
  <c r="E129" i="3" s="1"/>
  <c r="C129" i="3"/>
  <c r="B129" i="3"/>
  <c r="D128" i="3"/>
  <c r="E128" i="3" s="1"/>
  <c r="C128" i="3"/>
  <c r="B128" i="3"/>
  <c r="E127" i="3"/>
  <c r="D127" i="3"/>
  <c r="C127" i="3"/>
  <c r="B127" i="3"/>
  <c r="D126" i="3"/>
  <c r="F126" i="3" s="1"/>
  <c r="C126" i="3"/>
  <c r="B126" i="3"/>
  <c r="D125" i="3"/>
  <c r="E125" i="3" s="1"/>
  <c r="C125" i="3"/>
  <c r="B125" i="3"/>
  <c r="F125" i="3" s="1"/>
  <c r="D124" i="3"/>
  <c r="E124" i="3" s="1"/>
  <c r="C124" i="3"/>
  <c r="B124" i="3"/>
  <c r="D123" i="3"/>
  <c r="F123" i="3" s="1"/>
  <c r="C123" i="3"/>
  <c r="B123" i="3"/>
  <c r="D122" i="3"/>
  <c r="C122" i="3"/>
  <c r="B122" i="3"/>
  <c r="F122" i="3" s="1"/>
  <c r="D121" i="3"/>
  <c r="E121" i="3" s="1"/>
  <c r="C121" i="3"/>
  <c r="B121" i="3"/>
  <c r="D120" i="3"/>
  <c r="C120" i="3"/>
  <c r="B120" i="3"/>
  <c r="D119" i="3"/>
  <c r="F119" i="3" s="1"/>
  <c r="C119" i="3"/>
  <c r="B119" i="3"/>
  <c r="D118" i="3"/>
  <c r="F118" i="3" s="1"/>
  <c r="C118" i="3"/>
  <c r="B118" i="3"/>
  <c r="D117" i="3"/>
  <c r="C117" i="3"/>
  <c r="B117" i="3"/>
  <c r="F117" i="3" s="1"/>
  <c r="F116" i="3"/>
  <c r="D116" i="3"/>
  <c r="E116" i="3" s="1"/>
  <c r="C116" i="3"/>
  <c r="B116" i="3"/>
  <c r="D115" i="3"/>
  <c r="F115" i="3" s="1"/>
  <c r="C115" i="3"/>
  <c r="B115" i="3"/>
  <c r="E114" i="3"/>
  <c r="D114" i="3"/>
  <c r="C114" i="3"/>
  <c r="B114" i="3"/>
  <c r="D113" i="3"/>
  <c r="C113" i="3"/>
  <c r="B113" i="3"/>
  <c r="F113" i="3" s="1"/>
  <c r="D112" i="3"/>
  <c r="E112" i="3" s="1"/>
  <c r="C112" i="3"/>
  <c r="B112" i="3"/>
  <c r="D111" i="3"/>
  <c r="F111" i="3" s="1"/>
  <c r="C111" i="3"/>
  <c r="B111" i="3"/>
  <c r="D110" i="3"/>
  <c r="F110" i="3" s="1"/>
  <c r="C110" i="3"/>
  <c r="B110" i="3"/>
  <c r="E109" i="3"/>
  <c r="D109" i="3"/>
  <c r="C109" i="3"/>
  <c r="B109" i="3"/>
  <c r="D108" i="3"/>
  <c r="E108" i="3" s="1"/>
  <c r="C108" i="3"/>
  <c r="B108" i="3"/>
  <c r="D107" i="3"/>
  <c r="F107" i="3" s="1"/>
  <c r="C107" i="3"/>
  <c r="B107" i="3"/>
  <c r="E106" i="3"/>
  <c r="D106" i="3"/>
  <c r="C106" i="3"/>
  <c r="B106" i="3"/>
  <c r="F106" i="3" s="1"/>
  <c r="D105" i="3"/>
  <c r="C105" i="3"/>
  <c r="B105" i="3"/>
  <c r="D104" i="3"/>
  <c r="E104" i="3" s="1"/>
  <c r="C104" i="3"/>
  <c r="B104" i="3"/>
  <c r="D103" i="3"/>
  <c r="F103" i="3" s="1"/>
  <c r="C103" i="3"/>
  <c r="B103" i="3"/>
  <c r="D102" i="3"/>
  <c r="F102" i="3" s="1"/>
  <c r="C102" i="3"/>
  <c r="B102" i="3"/>
  <c r="D101" i="3"/>
  <c r="C101" i="3"/>
  <c r="B101" i="3"/>
  <c r="F101" i="3" s="1"/>
  <c r="D100" i="3"/>
  <c r="E100" i="3" s="1"/>
  <c r="C100" i="3"/>
  <c r="B100" i="3"/>
  <c r="D99" i="3"/>
  <c r="C99" i="3"/>
  <c r="B99" i="3"/>
  <c r="D98" i="3"/>
  <c r="F98" i="3" s="1"/>
  <c r="C98" i="3"/>
  <c r="B98" i="3"/>
  <c r="D97" i="3"/>
  <c r="C97" i="3"/>
  <c r="B97" i="3"/>
  <c r="D96" i="3"/>
  <c r="E96" i="3" s="1"/>
  <c r="C96" i="3"/>
  <c r="B96" i="3"/>
  <c r="D95" i="3"/>
  <c r="F95" i="3" s="1"/>
  <c r="C95" i="3"/>
  <c r="B95" i="3"/>
  <c r="D94" i="3"/>
  <c r="C94" i="3"/>
  <c r="B94" i="3"/>
  <c r="D93" i="3"/>
  <c r="E93" i="3" s="1"/>
  <c r="C93" i="3"/>
  <c r="B93" i="3"/>
  <c r="D92" i="3"/>
  <c r="C92" i="3"/>
  <c r="B92" i="3"/>
  <c r="F92" i="3" s="1"/>
  <c r="D91" i="3"/>
  <c r="C91" i="3"/>
  <c r="B91" i="3"/>
  <c r="E90" i="3"/>
  <c r="D90" i="3"/>
  <c r="F90" i="3" s="1"/>
  <c r="C90" i="3"/>
  <c r="B90" i="3"/>
  <c r="D89" i="3"/>
  <c r="C89" i="3"/>
  <c r="B89" i="3"/>
  <c r="E89" i="3" s="1"/>
  <c r="D88" i="3"/>
  <c r="E88" i="3" s="1"/>
  <c r="C88" i="3"/>
  <c r="B88" i="3"/>
  <c r="D87" i="3"/>
  <c r="C87" i="3"/>
  <c r="B87" i="3"/>
  <c r="D86" i="3"/>
  <c r="F86" i="3" s="1"/>
  <c r="C86" i="3"/>
  <c r="B86" i="3"/>
  <c r="D85" i="3"/>
  <c r="E85" i="3" s="1"/>
  <c r="C85" i="3"/>
  <c r="B85" i="3"/>
  <c r="F85" i="3" s="1"/>
  <c r="D84" i="3"/>
  <c r="E84" i="3" s="1"/>
  <c r="C84" i="3"/>
  <c r="B84" i="3"/>
  <c r="D83" i="3"/>
  <c r="F83" i="3" s="1"/>
  <c r="C83" i="3"/>
  <c r="B83" i="3"/>
  <c r="D82" i="3"/>
  <c r="C82" i="3"/>
  <c r="B82" i="3"/>
  <c r="E82" i="3" s="1"/>
  <c r="F81" i="3"/>
  <c r="D81" i="3"/>
  <c r="C81" i="3"/>
  <c r="B81" i="3"/>
  <c r="D80" i="3"/>
  <c r="E80" i="3" s="1"/>
  <c r="C80" i="3"/>
  <c r="B80" i="3"/>
  <c r="D79" i="3"/>
  <c r="F79" i="3" s="1"/>
  <c r="C79" i="3"/>
  <c r="B79" i="3"/>
  <c r="D78" i="3"/>
  <c r="C78" i="3"/>
  <c r="B78" i="3"/>
  <c r="D77" i="3"/>
  <c r="E77" i="3" s="1"/>
  <c r="C77" i="3"/>
  <c r="B77" i="3"/>
  <c r="D76" i="3"/>
  <c r="F76" i="3" s="1"/>
  <c r="C76" i="3"/>
  <c r="B76" i="3"/>
  <c r="D75" i="3"/>
  <c r="C75" i="3"/>
  <c r="B75" i="3"/>
  <c r="E74" i="3"/>
  <c r="D74" i="3"/>
  <c r="F74" i="3" s="1"/>
  <c r="C74" i="3"/>
  <c r="B74" i="3"/>
  <c r="D73" i="3"/>
  <c r="C73" i="3"/>
  <c r="B73" i="3"/>
  <c r="E73" i="3" s="1"/>
  <c r="D72" i="3"/>
  <c r="C72" i="3"/>
  <c r="B72" i="3"/>
  <c r="D71" i="3"/>
  <c r="C71" i="3"/>
  <c r="B71" i="3"/>
  <c r="D70" i="3"/>
  <c r="C70" i="3"/>
  <c r="B70" i="3"/>
  <c r="D69" i="3"/>
  <c r="E69" i="3" s="1"/>
  <c r="C69" i="3"/>
  <c r="B69" i="3"/>
  <c r="F69" i="3" s="1"/>
  <c r="D68" i="3"/>
  <c r="E68" i="3" s="1"/>
  <c r="C68" i="3"/>
  <c r="B68" i="3"/>
  <c r="D67" i="3"/>
  <c r="F67" i="3" s="1"/>
  <c r="C67" i="3"/>
  <c r="B67" i="3"/>
  <c r="D66" i="3"/>
  <c r="C66" i="3"/>
  <c r="B66" i="3"/>
  <c r="E66" i="3" s="1"/>
  <c r="D65" i="3"/>
  <c r="C65" i="3"/>
  <c r="B65" i="3"/>
  <c r="D64" i="3"/>
  <c r="C64" i="3"/>
  <c r="B64" i="3"/>
  <c r="F64" i="3" s="1"/>
  <c r="D63" i="3"/>
  <c r="F63" i="3" s="1"/>
  <c r="C63" i="3"/>
  <c r="B63" i="3"/>
  <c r="D62" i="3"/>
  <c r="C62" i="3"/>
  <c r="B62" i="3"/>
  <c r="D61" i="3"/>
  <c r="C61" i="3"/>
  <c r="B61" i="3"/>
  <c r="F60" i="3"/>
  <c r="D60" i="3"/>
  <c r="E60" i="3" s="1"/>
  <c r="C60" i="3"/>
  <c r="B60" i="3"/>
  <c r="D59" i="3"/>
  <c r="C59" i="3"/>
  <c r="B59" i="3"/>
  <c r="D58" i="3"/>
  <c r="F58" i="3" s="1"/>
  <c r="C58" i="3"/>
  <c r="B58" i="3"/>
  <c r="F57" i="3"/>
  <c r="D57" i="3"/>
  <c r="C57" i="3"/>
  <c r="B57" i="3"/>
  <c r="E57" i="3" s="1"/>
  <c r="D56" i="3"/>
  <c r="E56" i="3" s="1"/>
  <c r="C56" i="3"/>
  <c r="B56" i="3"/>
  <c r="D55" i="3"/>
  <c r="C55" i="3"/>
  <c r="B55" i="3"/>
  <c r="D54" i="3"/>
  <c r="C54" i="3"/>
  <c r="B54" i="3"/>
  <c r="E54" i="3" s="1"/>
  <c r="E53" i="3"/>
  <c r="D53" i="3"/>
  <c r="C53" i="3"/>
  <c r="B53" i="3"/>
  <c r="D52" i="3"/>
  <c r="C52" i="3"/>
  <c r="B52" i="3"/>
  <c r="F52" i="3" s="1"/>
  <c r="D51" i="3"/>
  <c r="C51" i="3"/>
  <c r="B51" i="3"/>
  <c r="D50" i="3"/>
  <c r="F50" i="3" s="1"/>
  <c r="C50" i="3"/>
  <c r="B50" i="3"/>
  <c r="F49" i="3"/>
  <c r="D49" i="3"/>
  <c r="C49" i="3"/>
  <c r="B49" i="3"/>
  <c r="D48" i="3"/>
  <c r="C48" i="3"/>
  <c r="B48" i="3"/>
  <c r="F48" i="3" s="1"/>
  <c r="D47" i="3"/>
  <c r="C47" i="3"/>
  <c r="B47" i="3"/>
  <c r="D46" i="3"/>
  <c r="F46" i="3" s="1"/>
  <c r="C46" i="3"/>
  <c r="B46" i="3"/>
  <c r="D45" i="3"/>
  <c r="C45" i="3"/>
  <c r="B45" i="3"/>
  <c r="D44" i="3"/>
  <c r="E44" i="3" s="1"/>
  <c r="C44" i="3"/>
  <c r="B44" i="3"/>
  <c r="D43" i="3"/>
  <c r="C43" i="3"/>
  <c r="B43" i="3"/>
  <c r="D42" i="3"/>
  <c r="C42" i="3"/>
  <c r="B42" i="3"/>
  <c r="D41" i="3"/>
  <c r="C41" i="3"/>
  <c r="B41" i="3"/>
  <c r="D40" i="3"/>
  <c r="C40" i="3"/>
  <c r="B40" i="3"/>
  <c r="F40" i="3" s="1"/>
  <c r="D39" i="3"/>
  <c r="C39" i="3"/>
  <c r="B39" i="3"/>
  <c r="D38" i="3"/>
  <c r="C38" i="3"/>
  <c r="B38" i="3"/>
  <c r="D37" i="3"/>
  <c r="C37" i="3"/>
  <c r="B37" i="3"/>
  <c r="D36" i="3"/>
  <c r="E36" i="3" s="1"/>
  <c r="C36" i="3"/>
  <c r="B36" i="3"/>
  <c r="D35" i="3"/>
  <c r="C35" i="3"/>
  <c r="B35" i="3"/>
  <c r="D34" i="3"/>
  <c r="C34" i="3"/>
  <c r="B34" i="3"/>
  <c r="E33" i="3"/>
  <c r="D33" i="3"/>
  <c r="C33" i="3"/>
  <c r="B33" i="3"/>
  <c r="D32" i="3"/>
  <c r="E32" i="3" s="1"/>
  <c r="C32" i="3"/>
  <c r="B32" i="3"/>
  <c r="D31" i="3"/>
  <c r="C31" i="3"/>
  <c r="B31" i="3"/>
  <c r="D30" i="3"/>
  <c r="C30" i="3"/>
  <c r="B30" i="3"/>
  <c r="D29" i="3"/>
  <c r="F29" i="3" s="1"/>
  <c r="C29" i="3"/>
  <c r="B29" i="3"/>
  <c r="D28" i="3"/>
  <c r="C28" i="3"/>
  <c r="B28" i="3"/>
  <c r="D27" i="3"/>
  <c r="C27" i="3"/>
  <c r="B27" i="3"/>
  <c r="E27" i="3" s="1"/>
  <c r="D26" i="3"/>
  <c r="C26" i="3"/>
  <c r="B26" i="3"/>
  <c r="F26" i="3" s="1"/>
  <c r="D25" i="3"/>
  <c r="E25" i="3" s="1"/>
  <c r="C25" i="3"/>
  <c r="B25" i="3"/>
  <c r="D24" i="3"/>
  <c r="C24" i="3"/>
  <c r="B24" i="3"/>
  <c r="D23" i="3"/>
  <c r="F23" i="3" s="1"/>
  <c r="C23" i="3"/>
  <c r="B23" i="3"/>
  <c r="F22" i="3"/>
  <c r="D22" i="3"/>
  <c r="E22" i="3" s="1"/>
  <c r="C22" i="3"/>
  <c r="B22" i="3"/>
  <c r="D21" i="3"/>
  <c r="E21" i="3" s="1"/>
  <c r="C21" i="3"/>
  <c r="B21" i="3"/>
  <c r="D20" i="3"/>
  <c r="C20" i="3"/>
  <c r="B20" i="3"/>
  <c r="D19" i="3"/>
  <c r="C19" i="3"/>
  <c r="B19" i="3"/>
  <c r="D18" i="3"/>
  <c r="C18" i="3"/>
  <c r="B18" i="3"/>
  <c r="D17" i="3"/>
  <c r="C17" i="3"/>
  <c r="B17" i="3"/>
  <c r="D16" i="3"/>
  <c r="E16" i="3" s="1"/>
  <c r="C16" i="3"/>
  <c r="B16" i="3"/>
  <c r="F15" i="3"/>
  <c r="D15" i="3"/>
  <c r="E15" i="3" s="1"/>
  <c r="C15" i="3"/>
  <c r="B15" i="3"/>
  <c r="D14" i="3"/>
  <c r="C14" i="3"/>
  <c r="B14" i="3"/>
  <c r="E13" i="3"/>
  <c r="D13" i="3"/>
  <c r="C13" i="3"/>
  <c r="B13" i="3"/>
  <c r="D12" i="3"/>
  <c r="F12" i="3" s="1"/>
  <c r="C12" i="3"/>
  <c r="B12" i="3"/>
  <c r="D11" i="3"/>
  <c r="C11" i="3"/>
  <c r="B11" i="3"/>
  <c r="F10" i="3"/>
  <c r="D10" i="3"/>
  <c r="C10" i="3"/>
  <c r="B10" i="3"/>
  <c r="D9" i="3"/>
  <c r="C9" i="3"/>
  <c r="B9" i="3"/>
  <c r="D8" i="3"/>
  <c r="F8" i="3" s="1"/>
  <c r="C8" i="3"/>
  <c r="B8" i="3"/>
  <c r="F7" i="3"/>
  <c r="D7" i="3"/>
  <c r="E7" i="3" s="1"/>
  <c r="C7" i="3"/>
  <c r="B7" i="3"/>
  <c r="D6" i="3"/>
  <c r="C6" i="3"/>
  <c r="B6" i="3"/>
  <c r="F6" i="3" s="1"/>
  <c r="D5" i="3"/>
  <c r="F5" i="3" s="1"/>
  <c r="C5" i="3"/>
  <c r="B5" i="3"/>
  <c r="D4" i="3"/>
  <c r="F4" i="3" s="1"/>
  <c r="C4" i="3"/>
  <c r="B4" i="3"/>
  <c r="D3" i="3"/>
  <c r="C3" i="3"/>
  <c r="B3" i="3"/>
  <c r="D2" i="3"/>
  <c r="C2" i="3"/>
  <c r="B2" i="3"/>
  <c r="F2" i="3" s="1"/>
  <c r="M688" i="1"/>
  <c r="L688" i="1"/>
  <c r="K688" i="1"/>
  <c r="J688" i="1" a="1"/>
  <c r="J688" i="1" s="1"/>
  <c r="M687" i="1"/>
  <c r="L687" i="1"/>
  <c r="K687" i="1"/>
  <c r="J687" i="1" a="1"/>
  <c r="J687" i="1"/>
  <c r="M686" i="1"/>
  <c r="L686" i="1"/>
  <c r="K686" i="1"/>
  <c r="J686" i="1" a="1"/>
  <c r="J686" i="1" s="1"/>
  <c r="M685" i="1"/>
  <c r="L685" i="1"/>
  <c r="K685" i="1"/>
  <c r="J685" i="1" a="1"/>
  <c r="J685" i="1"/>
  <c r="M684" i="1"/>
  <c r="L684" i="1"/>
  <c r="K684" i="1"/>
  <c r="J684" i="1" a="1"/>
  <c r="J684" i="1"/>
  <c r="M683" i="1"/>
  <c r="L683" i="1"/>
  <c r="K683" i="1"/>
  <c r="J683" i="1" a="1"/>
  <c r="J683" i="1" s="1"/>
  <c r="M682" i="1"/>
  <c r="L682" i="1"/>
  <c r="K682" i="1"/>
  <c r="J682" i="1" a="1"/>
  <c r="J682" i="1"/>
  <c r="M681" i="1"/>
  <c r="L681" i="1"/>
  <c r="K681" i="1"/>
  <c r="J681" i="1" a="1"/>
  <c r="J681" i="1" s="1"/>
  <c r="M680" i="1"/>
  <c r="L680" i="1"/>
  <c r="K680" i="1"/>
  <c r="J680" i="1" a="1"/>
  <c r="J680" i="1"/>
  <c r="M679" i="1"/>
  <c r="L679" i="1"/>
  <c r="K679" i="1"/>
  <c r="J679" i="1" a="1"/>
  <c r="J679" i="1" s="1"/>
  <c r="M678" i="1"/>
  <c r="L678" i="1"/>
  <c r="K678" i="1"/>
  <c r="J678" i="1" a="1"/>
  <c r="J678" i="1" s="1"/>
  <c r="M677" i="1"/>
  <c r="L677" i="1"/>
  <c r="K677" i="1"/>
  <c r="J677" i="1" a="1"/>
  <c r="J677" i="1" s="1"/>
  <c r="M676" i="1"/>
  <c r="L676" i="1"/>
  <c r="K676" i="1"/>
  <c r="J676" i="1" a="1"/>
  <c r="J676" i="1" s="1"/>
  <c r="M675" i="1"/>
  <c r="L675" i="1"/>
  <c r="K675" i="1"/>
  <c r="J675" i="1" a="1"/>
  <c r="J675" i="1" s="1"/>
  <c r="M674" i="1"/>
  <c r="L674" i="1"/>
  <c r="K674" i="1"/>
  <c r="J674" i="1" a="1"/>
  <c r="J674" i="1" s="1"/>
  <c r="M673" i="1"/>
  <c r="L673" i="1"/>
  <c r="K673" i="1"/>
  <c r="J673" i="1" a="1"/>
  <c r="J673" i="1" s="1"/>
  <c r="M672" i="1"/>
  <c r="L672" i="1"/>
  <c r="K672" i="1"/>
  <c r="J672" i="1" a="1"/>
  <c r="J672" i="1" s="1"/>
  <c r="M671" i="1"/>
  <c r="L671" i="1"/>
  <c r="K671" i="1"/>
  <c r="J671" i="1" a="1"/>
  <c r="J671" i="1"/>
  <c r="M670" i="1"/>
  <c r="L670" i="1"/>
  <c r="K670" i="1"/>
  <c r="J670" i="1" a="1"/>
  <c r="J670" i="1" s="1"/>
  <c r="M669" i="1"/>
  <c r="L669" i="1"/>
  <c r="K669" i="1"/>
  <c r="J669" i="1" a="1"/>
  <c r="J669" i="1" s="1"/>
  <c r="M668" i="1"/>
  <c r="L668" i="1"/>
  <c r="K668" i="1"/>
  <c r="J668" i="1" a="1"/>
  <c r="J668" i="1" s="1"/>
  <c r="M667" i="1"/>
  <c r="L667" i="1"/>
  <c r="K667" i="1"/>
  <c r="J667" i="1" a="1"/>
  <c r="J667" i="1" s="1"/>
  <c r="M666" i="1"/>
  <c r="L666" i="1"/>
  <c r="K666" i="1"/>
  <c r="J666" i="1" a="1"/>
  <c r="J666" i="1" s="1"/>
  <c r="M665" i="1"/>
  <c r="L665" i="1"/>
  <c r="K665" i="1"/>
  <c r="J665" i="1" a="1"/>
  <c r="J665" i="1" s="1"/>
  <c r="M664" i="1"/>
  <c r="L664" i="1"/>
  <c r="K664" i="1"/>
  <c r="J664" i="1" a="1"/>
  <c r="J664" i="1"/>
  <c r="M663" i="1"/>
  <c r="L663" i="1"/>
  <c r="K663" i="1"/>
  <c r="J663" i="1" a="1"/>
  <c r="J663" i="1" s="1"/>
  <c r="M662" i="1"/>
  <c r="L662" i="1"/>
  <c r="K662" i="1"/>
  <c r="J662" i="1" a="1"/>
  <c r="J662" i="1" s="1"/>
  <c r="M661" i="1"/>
  <c r="L661" i="1"/>
  <c r="K661" i="1"/>
  <c r="J661" i="1" a="1"/>
  <c r="J661" i="1" s="1"/>
  <c r="M660" i="1"/>
  <c r="L660" i="1"/>
  <c r="K660" i="1"/>
  <c r="J660" i="1" a="1"/>
  <c r="J660" i="1" s="1"/>
  <c r="M659" i="1"/>
  <c r="L659" i="1"/>
  <c r="K659" i="1"/>
  <c r="J659" i="1" a="1"/>
  <c r="J659" i="1" s="1"/>
  <c r="M658" i="1"/>
  <c r="L658" i="1"/>
  <c r="K658" i="1"/>
  <c r="J658" i="1" a="1"/>
  <c r="J658" i="1" s="1"/>
  <c r="M657" i="1"/>
  <c r="L657" i="1"/>
  <c r="K657" i="1"/>
  <c r="J657" i="1" a="1"/>
  <c r="J657" i="1" s="1"/>
  <c r="M656" i="1"/>
  <c r="L656" i="1"/>
  <c r="K656" i="1"/>
  <c r="J656" i="1" a="1"/>
  <c r="J656" i="1" s="1"/>
  <c r="M655" i="1"/>
  <c r="L655" i="1"/>
  <c r="K655" i="1"/>
  <c r="J655" i="1" a="1"/>
  <c r="J655" i="1" s="1"/>
  <c r="M654" i="1"/>
  <c r="L654" i="1"/>
  <c r="K654" i="1"/>
  <c r="J654" i="1" a="1"/>
  <c r="J654" i="1" s="1"/>
  <c r="M653" i="1"/>
  <c r="L653" i="1"/>
  <c r="K653" i="1"/>
  <c r="J653" i="1" a="1"/>
  <c r="J653" i="1" s="1"/>
  <c r="M652" i="1"/>
  <c r="L652" i="1"/>
  <c r="K652" i="1"/>
  <c r="J652" i="1" a="1"/>
  <c r="J652" i="1" s="1"/>
  <c r="M651" i="1"/>
  <c r="L651" i="1"/>
  <c r="K651" i="1"/>
  <c r="J651" i="1" a="1"/>
  <c r="J651" i="1" s="1"/>
  <c r="M650" i="1"/>
  <c r="L650" i="1"/>
  <c r="K650" i="1"/>
  <c r="J650" i="1" a="1"/>
  <c r="J650" i="1" s="1"/>
  <c r="M649" i="1"/>
  <c r="L649" i="1"/>
  <c r="K649" i="1"/>
  <c r="J649" i="1" a="1"/>
  <c r="J649" i="1" s="1"/>
  <c r="M648" i="1"/>
  <c r="L648" i="1"/>
  <c r="K648" i="1"/>
  <c r="J648" i="1" a="1"/>
  <c r="J648" i="1"/>
  <c r="M647" i="1"/>
  <c r="L647" i="1"/>
  <c r="K647" i="1"/>
  <c r="J647" i="1" a="1"/>
  <c r="J647" i="1" s="1"/>
  <c r="M646" i="1"/>
  <c r="L646" i="1"/>
  <c r="K646" i="1"/>
  <c r="J646" i="1" a="1"/>
  <c r="J646" i="1" s="1"/>
  <c r="M645" i="1"/>
  <c r="L645" i="1"/>
  <c r="K645" i="1"/>
  <c r="J645" i="1" a="1"/>
  <c r="J645" i="1" s="1"/>
  <c r="M644" i="1"/>
  <c r="L644" i="1"/>
  <c r="K644" i="1"/>
  <c r="J644" i="1" a="1"/>
  <c r="J644" i="1"/>
  <c r="M643" i="1"/>
  <c r="L643" i="1"/>
  <c r="K643" i="1"/>
  <c r="J643" i="1" a="1"/>
  <c r="J643" i="1"/>
  <c r="M642" i="1"/>
  <c r="L642" i="1"/>
  <c r="K642" i="1"/>
  <c r="J642" i="1" a="1"/>
  <c r="J642" i="1" s="1"/>
  <c r="M641" i="1"/>
  <c r="L641" i="1"/>
  <c r="K641" i="1"/>
  <c r="J641" i="1" a="1"/>
  <c r="J641" i="1" s="1"/>
  <c r="M640" i="1"/>
  <c r="L640" i="1"/>
  <c r="K640" i="1"/>
  <c r="J640" i="1" a="1"/>
  <c r="J640" i="1" s="1"/>
  <c r="M639" i="1"/>
  <c r="L639" i="1"/>
  <c r="K639" i="1"/>
  <c r="J639" i="1" a="1"/>
  <c r="J639" i="1" s="1"/>
  <c r="M638" i="1"/>
  <c r="L638" i="1"/>
  <c r="K638" i="1"/>
  <c r="J638" i="1" a="1"/>
  <c r="J638" i="1" s="1"/>
  <c r="M637" i="1"/>
  <c r="L637" i="1"/>
  <c r="K637" i="1"/>
  <c r="J637" i="1" a="1"/>
  <c r="J637" i="1" s="1"/>
  <c r="M636" i="1"/>
  <c r="L636" i="1"/>
  <c r="K636" i="1"/>
  <c r="J636" i="1" a="1"/>
  <c r="J636" i="1" s="1"/>
  <c r="M635" i="1"/>
  <c r="L635" i="1"/>
  <c r="K635" i="1"/>
  <c r="J635" i="1" a="1"/>
  <c r="J635" i="1" s="1"/>
  <c r="M634" i="1"/>
  <c r="L634" i="1"/>
  <c r="K634" i="1"/>
  <c r="J634" i="1" a="1"/>
  <c r="J634" i="1"/>
  <c r="M633" i="1"/>
  <c r="L633" i="1"/>
  <c r="K633" i="1"/>
  <c r="J633" i="1" a="1"/>
  <c r="J633" i="1" s="1"/>
  <c r="M632" i="1"/>
  <c r="L632" i="1"/>
  <c r="K632" i="1"/>
  <c r="J632" i="1" a="1"/>
  <c r="J632" i="1" s="1"/>
  <c r="M631" i="1"/>
  <c r="L631" i="1"/>
  <c r="K631" i="1"/>
  <c r="J631" i="1" a="1"/>
  <c r="J631" i="1" s="1"/>
  <c r="M630" i="1"/>
  <c r="L630" i="1"/>
  <c r="K630" i="1"/>
  <c r="J630" i="1" a="1"/>
  <c r="J630" i="1" s="1"/>
  <c r="M629" i="1"/>
  <c r="L629" i="1"/>
  <c r="K629" i="1"/>
  <c r="J629" i="1" a="1"/>
  <c r="J629" i="1" s="1"/>
  <c r="M628" i="1"/>
  <c r="L628" i="1"/>
  <c r="K628" i="1"/>
  <c r="J628" i="1" a="1"/>
  <c r="J628" i="1" s="1"/>
  <c r="M627" i="1"/>
  <c r="L627" i="1"/>
  <c r="K627" i="1"/>
  <c r="J627" i="1" a="1"/>
  <c r="J627" i="1" s="1"/>
  <c r="M626" i="1"/>
  <c r="L626" i="1"/>
  <c r="K626" i="1"/>
  <c r="J626" i="1" a="1"/>
  <c r="J626" i="1" s="1"/>
  <c r="M625" i="1"/>
  <c r="L625" i="1"/>
  <c r="K625" i="1"/>
  <c r="J625" i="1" a="1"/>
  <c r="J625" i="1" s="1"/>
  <c r="M624" i="1"/>
  <c r="L624" i="1"/>
  <c r="K624" i="1"/>
  <c r="J624" i="1" a="1"/>
  <c r="J624" i="1" s="1"/>
  <c r="M623" i="1"/>
  <c r="L623" i="1"/>
  <c r="K623" i="1"/>
  <c r="J623" i="1" a="1"/>
  <c r="J623" i="1" s="1"/>
  <c r="M622" i="1"/>
  <c r="L622" i="1"/>
  <c r="K622" i="1"/>
  <c r="J622" i="1" a="1"/>
  <c r="J622" i="1" s="1"/>
  <c r="M621" i="1"/>
  <c r="L621" i="1"/>
  <c r="K621" i="1"/>
  <c r="J621" i="1" a="1"/>
  <c r="J621" i="1" s="1"/>
  <c r="M620" i="1"/>
  <c r="L620" i="1"/>
  <c r="K620" i="1"/>
  <c r="J620" i="1" a="1"/>
  <c r="J620" i="1" s="1"/>
  <c r="M619" i="1"/>
  <c r="L619" i="1"/>
  <c r="K619" i="1"/>
  <c r="J619" i="1" a="1"/>
  <c r="J619" i="1" s="1"/>
  <c r="M618" i="1"/>
  <c r="L618" i="1"/>
  <c r="K618" i="1"/>
  <c r="J618" i="1" a="1"/>
  <c r="J618" i="1" s="1"/>
  <c r="M617" i="1"/>
  <c r="L617" i="1"/>
  <c r="K617" i="1"/>
  <c r="J617" i="1" a="1"/>
  <c r="J617" i="1" s="1"/>
  <c r="M616" i="1"/>
  <c r="L616" i="1"/>
  <c r="K616" i="1"/>
  <c r="J616" i="1" a="1"/>
  <c r="J616" i="1"/>
  <c r="M615" i="1"/>
  <c r="L615" i="1"/>
  <c r="K615" i="1"/>
  <c r="J615" i="1" a="1"/>
  <c r="J615" i="1"/>
  <c r="M614" i="1"/>
  <c r="L614" i="1"/>
  <c r="K614" i="1"/>
  <c r="J614" i="1" a="1"/>
  <c r="J614" i="1"/>
  <c r="M613" i="1"/>
  <c r="L613" i="1"/>
  <c r="K613" i="1"/>
  <c r="J613" i="1" a="1"/>
  <c r="J613" i="1" s="1"/>
  <c r="M612" i="1"/>
  <c r="L612" i="1"/>
  <c r="K612" i="1"/>
  <c r="J612" i="1" a="1"/>
  <c r="J612" i="1" s="1"/>
  <c r="M611" i="1"/>
  <c r="L611" i="1"/>
  <c r="K611" i="1"/>
  <c r="J611" i="1" a="1"/>
  <c r="J611" i="1" s="1"/>
  <c r="M610" i="1"/>
  <c r="L610" i="1"/>
  <c r="K610" i="1"/>
  <c r="J610" i="1" a="1"/>
  <c r="J610" i="1" s="1"/>
  <c r="M609" i="1"/>
  <c r="L609" i="1"/>
  <c r="K609" i="1"/>
  <c r="J609" i="1" a="1"/>
  <c r="J609" i="1" s="1"/>
  <c r="M608" i="1"/>
  <c r="L608" i="1"/>
  <c r="K608" i="1"/>
  <c r="J608" i="1" a="1"/>
  <c r="J608" i="1" s="1"/>
  <c r="M607" i="1"/>
  <c r="L607" i="1"/>
  <c r="K607" i="1"/>
  <c r="J607" i="1" a="1"/>
  <c r="J607" i="1"/>
  <c r="M606" i="1"/>
  <c r="L606" i="1"/>
  <c r="K606" i="1"/>
  <c r="J606" i="1" a="1"/>
  <c r="J606" i="1" s="1"/>
  <c r="M605" i="1"/>
  <c r="L605" i="1"/>
  <c r="K605" i="1"/>
  <c r="J605" i="1" a="1"/>
  <c r="J605" i="1" s="1"/>
  <c r="M604" i="1"/>
  <c r="L604" i="1"/>
  <c r="K604" i="1"/>
  <c r="J604" i="1" a="1"/>
  <c r="J604" i="1" s="1"/>
  <c r="M603" i="1"/>
  <c r="L603" i="1"/>
  <c r="K603" i="1"/>
  <c r="J603" i="1" a="1"/>
  <c r="J603" i="1" s="1"/>
  <c r="M602" i="1"/>
  <c r="L602" i="1"/>
  <c r="K602" i="1"/>
  <c r="J602" i="1" a="1"/>
  <c r="J602" i="1" s="1"/>
  <c r="M601" i="1"/>
  <c r="L601" i="1"/>
  <c r="K601" i="1"/>
  <c r="J601" i="1" a="1"/>
  <c r="J601" i="1" s="1"/>
  <c r="M600" i="1"/>
  <c r="L600" i="1"/>
  <c r="K600" i="1"/>
  <c r="J600" i="1" a="1"/>
  <c r="J600" i="1"/>
  <c r="M599" i="1"/>
  <c r="L599" i="1"/>
  <c r="K599" i="1"/>
  <c r="J599" i="1" a="1"/>
  <c r="J599" i="1" s="1"/>
  <c r="M598" i="1"/>
  <c r="L598" i="1"/>
  <c r="K598" i="1"/>
  <c r="J598" i="1" a="1"/>
  <c r="J598" i="1" s="1"/>
  <c r="M597" i="1"/>
  <c r="L597" i="1"/>
  <c r="K597" i="1"/>
  <c r="J597" i="1" a="1"/>
  <c r="J597" i="1" s="1"/>
  <c r="M596" i="1"/>
  <c r="L596" i="1"/>
  <c r="K596" i="1"/>
  <c r="J596" i="1" a="1"/>
  <c r="J596" i="1" s="1"/>
  <c r="M595" i="1"/>
  <c r="L595" i="1"/>
  <c r="K595" i="1"/>
  <c r="J595" i="1" a="1"/>
  <c r="J595" i="1" s="1"/>
  <c r="M594" i="1"/>
  <c r="L594" i="1"/>
  <c r="K594" i="1"/>
  <c r="J594" i="1" a="1"/>
  <c r="J594" i="1"/>
  <c r="M593" i="1"/>
  <c r="L593" i="1"/>
  <c r="K593" i="1"/>
  <c r="J593" i="1" a="1"/>
  <c r="J593" i="1" s="1"/>
  <c r="Q592" i="1"/>
  <c r="P592" i="1"/>
  <c r="O592" i="1"/>
  <c r="M592" i="1"/>
  <c r="L592" i="1"/>
  <c r="K592" i="1"/>
  <c r="J592" i="1" a="1"/>
  <c r="J592" i="1" s="1"/>
  <c r="P591" i="1"/>
  <c r="O591" i="1"/>
  <c r="M591" i="1"/>
  <c r="L591" i="1"/>
  <c r="K591" i="1"/>
  <c r="J591" i="1" a="1"/>
  <c r="J591" i="1" s="1"/>
  <c r="Q590" i="1"/>
  <c r="P590" i="1"/>
  <c r="O590" i="1"/>
  <c r="M590" i="1"/>
  <c r="L590" i="1"/>
  <c r="K590" i="1"/>
  <c r="J590" i="1" a="1"/>
  <c r="J590" i="1" s="1"/>
  <c r="Q589" i="1"/>
  <c r="P589" i="1"/>
  <c r="O589" i="1"/>
  <c r="M589" i="1"/>
  <c r="L589" i="1"/>
  <c r="K589" i="1"/>
  <c r="J589" i="1" a="1"/>
  <c r="J589" i="1" s="1"/>
  <c r="Q588" i="1"/>
  <c r="P588" i="1"/>
  <c r="O588" i="1"/>
  <c r="M588" i="1"/>
  <c r="L588" i="1"/>
  <c r="K588" i="1"/>
  <c r="J588" i="1" a="1"/>
  <c r="J588" i="1" s="1"/>
  <c r="Q587" i="1"/>
  <c r="P587" i="1"/>
  <c r="O587" i="1"/>
  <c r="M587" i="1"/>
  <c r="L587" i="1"/>
  <c r="K587" i="1"/>
  <c r="J587" i="1" a="1"/>
  <c r="J587" i="1" s="1"/>
  <c r="Q586" i="1"/>
  <c r="P586" i="1"/>
  <c r="O586" i="1"/>
  <c r="M586" i="1"/>
  <c r="L586" i="1"/>
  <c r="K586" i="1"/>
  <c r="J586" i="1" a="1"/>
  <c r="J586" i="1" s="1"/>
  <c r="Q585" i="1"/>
  <c r="P585" i="1"/>
  <c r="O585" i="1"/>
  <c r="M585" i="1"/>
  <c r="L585" i="1"/>
  <c r="K585" i="1"/>
  <c r="J585" i="1" a="1"/>
  <c r="J585" i="1" s="1"/>
  <c r="Q584" i="1"/>
  <c r="P584" i="1"/>
  <c r="O584" i="1"/>
  <c r="M584" i="1"/>
  <c r="L584" i="1"/>
  <c r="K584" i="1"/>
  <c r="J584" i="1" a="1"/>
  <c r="J584" i="1" s="1"/>
  <c r="Q583" i="1"/>
  <c r="P583" i="1"/>
  <c r="O583" i="1"/>
  <c r="M583" i="1"/>
  <c r="L583" i="1"/>
  <c r="K583" i="1"/>
  <c r="J583" i="1" a="1"/>
  <c r="J583" i="1" s="1"/>
  <c r="Q582" i="1"/>
  <c r="P582" i="1"/>
  <c r="O582" i="1"/>
  <c r="M582" i="1"/>
  <c r="L582" i="1"/>
  <c r="K582" i="1"/>
  <c r="J582" i="1" a="1"/>
  <c r="J582" i="1" s="1"/>
  <c r="Q581" i="1"/>
  <c r="P581" i="1"/>
  <c r="O581" i="1"/>
  <c r="M581" i="1"/>
  <c r="L581" i="1"/>
  <c r="K581" i="1"/>
  <c r="J581" i="1" a="1"/>
  <c r="J581" i="1" s="1"/>
  <c r="Q580" i="1"/>
  <c r="P580" i="1"/>
  <c r="O580" i="1"/>
  <c r="M580" i="1"/>
  <c r="L580" i="1"/>
  <c r="K580" i="1"/>
  <c r="J580" i="1" a="1"/>
  <c r="J580" i="1" s="1"/>
  <c r="Q579" i="1"/>
  <c r="P579" i="1"/>
  <c r="O579" i="1"/>
  <c r="M579" i="1"/>
  <c r="L579" i="1"/>
  <c r="K579" i="1"/>
  <c r="J579" i="1" a="1"/>
  <c r="J579" i="1" s="1"/>
  <c r="Q578" i="1"/>
  <c r="P578" i="1"/>
  <c r="O578" i="1"/>
  <c r="M578" i="1"/>
  <c r="L578" i="1"/>
  <c r="K578" i="1"/>
  <c r="J578" i="1" a="1"/>
  <c r="J578" i="1" s="1"/>
  <c r="Q577" i="1"/>
  <c r="P577" i="1"/>
  <c r="O577" i="1"/>
  <c r="M577" i="1"/>
  <c r="L577" i="1"/>
  <c r="K577" i="1"/>
  <c r="J577" i="1" a="1"/>
  <c r="J577" i="1" s="1"/>
  <c r="Q576" i="1"/>
  <c r="P576" i="1"/>
  <c r="O576" i="1"/>
  <c r="M576" i="1"/>
  <c r="L576" i="1"/>
  <c r="K576" i="1"/>
  <c r="J576" i="1" a="1"/>
  <c r="J576" i="1" s="1"/>
  <c r="Q575" i="1"/>
  <c r="P575" i="1"/>
  <c r="O575" i="1"/>
  <c r="M575" i="1"/>
  <c r="L575" i="1"/>
  <c r="K575" i="1"/>
  <c r="J575" i="1" a="1"/>
  <c r="J575" i="1" s="1"/>
  <c r="Q574" i="1"/>
  <c r="P574" i="1"/>
  <c r="O574" i="1"/>
  <c r="M574" i="1"/>
  <c r="L574" i="1"/>
  <c r="K574" i="1"/>
  <c r="J574" i="1" a="1"/>
  <c r="J574" i="1" s="1"/>
  <c r="Q573" i="1"/>
  <c r="P573" i="1"/>
  <c r="O573" i="1"/>
  <c r="M573" i="1"/>
  <c r="L573" i="1"/>
  <c r="K573" i="1"/>
  <c r="J573" i="1" a="1"/>
  <c r="J573" i="1" s="1"/>
  <c r="Q572" i="1"/>
  <c r="P572" i="1"/>
  <c r="O572" i="1"/>
  <c r="M572" i="1"/>
  <c r="L572" i="1"/>
  <c r="K572" i="1"/>
  <c r="J572" i="1" a="1"/>
  <c r="J572" i="1" s="1"/>
  <c r="Q571" i="1"/>
  <c r="P571" i="1"/>
  <c r="O571" i="1"/>
  <c r="M571" i="1"/>
  <c r="L571" i="1"/>
  <c r="K571" i="1"/>
  <c r="J571" i="1" a="1"/>
  <c r="J571" i="1" s="1"/>
  <c r="Q570" i="1"/>
  <c r="P570" i="1"/>
  <c r="O570" i="1"/>
  <c r="M570" i="1"/>
  <c r="L570" i="1"/>
  <c r="K570" i="1"/>
  <c r="J570" i="1" a="1"/>
  <c r="J570" i="1" s="1"/>
  <c r="Q569" i="1"/>
  <c r="P569" i="1"/>
  <c r="O569" i="1"/>
  <c r="M569" i="1"/>
  <c r="L569" i="1"/>
  <c r="K569" i="1"/>
  <c r="J569" i="1" a="1"/>
  <c r="J569" i="1" s="1"/>
  <c r="Q568" i="1"/>
  <c r="P568" i="1"/>
  <c r="O568" i="1"/>
  <c r="M568" i="1"/>
  <c r="L568" i="1"/>
  <c r="K568" i="1"/>
  <c r="J568" i="1" a="1"/>
  <c r="J568" i="1" s="1"/>
  <c r="Q567" i="1"/>
  <c r="P567" i="1"/>
  <c r="O567" i="1"/>
  <c r="M567" i="1"/>
  <c r="L567" i="1"/>
  <c r="K567" i="1"/>
  <c r="J567" i="1" a="1"/>
  <c r="J567" i="1" s="1"/>
  <c r="Q566" i="1"/>
  <c r="P566" i="1"/>
  <c r="O566" i="1"/>
  <c r="M566" i="1"/>
  <c r="L566" i="1"/>
  <c r="K566" i="1"/>
  <c r="J566" i="1" a="1"/>
  <c r="J566" i="1" s="1"/>
  <c r="Q565" i="1"/>
  <c r="P565" i="1"/>
  <c r="O565" i="1"/>
  <c r="M565" i="1"/>
  <c r="L565" i="1"/>
  <c r="K565" i="1"/>
  <c r="J565" i="1" a="1"/>
  <c r="J565" i="1" s="1"/>
  <c r="Q564" i="1"/>
  <c r="P564" i="1"/>
  <c r="O564" i="1"/>
  <c r="M564" i="1"/>
  <c r="L564" i="1"/>
  <c r="K564" i="1"/>
  <c r="J564" i="1" a="1"/>
  <c r="J564" i="1" s="1"/>
  <c r="Q563" i="1"/>
  <c r="P563" i="1"/>
  <c r="O563" i="1"/>
  <c r="M563" i="1"/>
  <c r="L563" i="1"/>
  <c r="K563" i="1"/>
  <c r="J563" i="1" a="1"/>
  <c r="J563" i="1" s="1"/>
  <c r="Q562" i="1"/>
  <c r="P562" i="1"/>
  <c r="O562" i="1"/>
  <c r="M562" i="1"/>
  <c r="L562" i="1"/>
  <c r="K562" i="1"/>
  <c r="J562" i="1" a="1"/>
  <c r="J562" i="1" s="1"/>
  <c r="Q561" i="1"/>
  <c r="P561" i="1"/>
  <c r="O561" i="1"/>
  <c r="M561" i="1"/>
  <c r="L561" i="1"/>
  <c r="K561" i="1"/>
  <c r="J561" i="1" a="1"/>
  <c r="J561" i="1" s="1"/>
  <c r="Q560" i="1"/>
  <c r="P560" i="1"/>
  <c r="O560" i="1"/>
  <c r="M560" i="1"/>
  <c r="L560" i="1"/>
  <c r="K560" i="1"/>
  <c r="J560" i="1" a="1"/>
  <c r="J560" i="1" s="1"/>
  <c r="Q559" i="1"/>
  <c r="P559" i="1"/>
  <c r="O559" i="1"/>
  <c r="M559" i="1"/>
  <c r="L559" i="1"/>
  <c r="K559" i="1"/>
  <c r="J559" i="1" a="1"/>
  <c r="J559" i="1" s="1"/>
  <c r="Q558" i="1"/>
  <c r="P558" i="1"/>
  <c r="O558" i="1"/>
  <c r="M558" i="1"/>
  <c r="L558" i="1"/>
  <c r="K558" i="1"/>
  <c r="J558" i="1" a="1"/>
  <c r="J558" i="1" s="1"/>
  <c r="Q557" i="1"/>
  <c r="P557" i="1"/>
  <c r="O557" i="1"/>
  <c r="M557" i="1"/>
  <c r="L557" i="1"/>
  <c r="K557" i="1"/>
  <c r="J557" i="1" a="1"/>
  <c r="J557" i="1" s="1"/>
  <c r="Q556" i="1"/>
  <c r="P556" i="1"/>
  <c r="O556" i="1"/>
  <c r="M556" i="1"/>
  <c r="L556" i="1"/>
  <c r="K556" i="1"/>
  <c r="J556" i="1" a="1"/>
  <c r="J556" i="1" s="1"/>
  <c r="Q555" i="1"/>
  <c r="P555" i="1"/>
  <c r="O555" i="1"/>
  <c r="M555" i="1"/>
  <c r="L555" i="1"/>
  <c r="K555" i="1"/>
  <c r="J555" i="1" a="1"/>
  <c r="J555" i="1" s="1"/>
  <c r="Q554" i="1"/>
  <c r="P554" i="1"/>
  <c r="O554" i="1"/>
  <c r="M554" i="1"/>
  <c r="L554" i="1"/>
  <c r="K554" i="1"/>
  <c r="J554" i="1" a="1"/>
  <c r="J554" i="1" s="1"/>
  <c r="Q553" i="1"/>
  <c r="P553" i="1"/>
  <c r="O553" i="1"/>
  <c r="M553" i="1"/>
  <c r="L553" i="1"/>
  <c r="K553" i="1"/>
  <c r="J553" i="1" a="1"/>
  <c r="J553" i="1" s="1"/>
  <c r="Q552" i="1"/>
  <c r="P552" i="1"/>
  <c r="O552" i="1"/>
  <c r="M552" i="1"/>
  <c r="L552" i="1"/>
  <c r="K552" i="1"/>
  <c r="J552" i="1" a="1"/>
  <c r="J552" i="1" s="1"/>
  <c r="Q551" i="1"/>
  <c r="P551" i="1"/>
  <c r="O551" i="1"/>
  <c r="M551" i="1"/>
  <c r="L551" i="1"/>
  <c r="K551" i="1"/>
  <c r="J551" i="1" a="1"/>
  <c r="J551" i="1" s="1"/>
  <c r="Q550" i="1"/>
  <c r="P550" i="1"/>
  <c r="O550" i="1"/>
  <c r="M550" i="1"/>
  <c r="L550" i="1"/>
  <c r="K550" i="1"/>
  <c r="J550" i="1" a="1"/>
  <c r="J550" i="1" s="1"/>
  <c r="Q549" i="1"/>
  <c r="P549" i="1"/>
  <c r="O549" i="1"/>
  <c r="M549" i="1"/>
  <c r="L549" i="1"/>
  <c r="K549" i="1"/>
  <c r="J549" i="1" a="1"/>
  <c r="J549" i="1" s="1"/>
  <c r="Q548" i="1"/>
  <c r="P548" i="1"/>
  <c r="O548" i="1"/>
  <c r="M548" i="1"/>
  <c r="L548" i="1"/>
  <c r="K548" i="1"/>
  <c r="J548" i="1" a="1"/>
  <c r="J548" i="1" s="1"/>
  <c r="Q547" i="1"/>
  <c r="P547" i="1"/>
  <c r="O547" i="1"/>
  <c r="M547" i="1"/>
  <c r="L547" i="1"/>
  <c r="K547" i="1"/>
  <c r="J547" i="1" a="1"/>
  <c r="J547" i="1" s="1"/>
  <c r="Q546" i="1"/>
  <c r="P546" i="1"/>
  <c r="O546" i="1"/>
  <c r="M546" i="1"/>
  <c r="L546" i="1"/>
  <c r="K546" i="1"/>
  <c r="J546" i="1" a="1"/>
  <c r="J546" i="1" s="1"/>
  <c r="Q545" i="1"/>
  <c r="P545" i="1"/>
  <c r="O545" i="1"/>
  <c r="M545" i="1"/>
  <c r="L545" i="1"/>
  <c r="K545" i="1"/>
  <c r="J545" i="1" a="1"/>
  <c r="J545" i="1" s="1"/>
  <c r="Q544" i="1"/>
  <c r="P544" i="1"/>
  <c r="O544" i="1"/>
  <c r="M544" i="1"/>
  <c r="L544" i="1"/>
  <c r="K544" i="1"/>
  <c r="J544" i="1" a="1"/>
  <c r="J544" i="1" s="1"/>
  <c r="Q543" i="1"/>
  <c r="P543" i="1"/>
  <c r="O543" i="1"/>
  <c r="M543" i="1"/>
  <c r="L543" i="1"/>
  <c r="K543" i="1"/>
  <c r="J543" i="1" a="1"/>
  <c r="J543" i="1" s="1"/>
  <c r="Q542" i="1"/>
  <c r="P542" i="1"/>
  <c r="O542" i="1"/>
  <c r="M542" i="1"/>
  <c r="L542" i="1"/>
  <c r="K542" i="1"/>
  <c r="J542" i="1" a="1"/>
  <c r="J542" i="1" s="1"/>
  <c r="Q541" i="1"/>
  <c r="P541" i="1"/>
  <c r="O541" i="1"/>
  <c r="M541" i="1"/>
  <c r="L541" i="1"/>
  <c r="K541" i="1"/>
  <c r="J541" i="1" a="1"/>
  <c r="J541" i="1" s="1"/>
  <c r="Q540" i="1"/>
  <c r="P540" i="1"/>
  <c r="O540" i="1"/>
  <c r="M540" i="1"/>
  <c r="L540" i="1"/>
  <c r="K540" i="1"/>
  <c r="J540" i="1" a="1"/>
  <c r="J540" i="1" s="1"/>
  <c r="Q539" i="1"/>
  <c r="P539" i="1"/>
  <c r="O539" i="1"/>
  <c r="M539" i="1"/>
  <c r="L539" i="1"/>
  <c r="K539" i="1"/>
  <c r="J539" i="1" a="1"/>
  <c r="J539" i="1" s="1"/>
  <c r="Q538" i="1"/>
  <c r="P538" i="1"/>
  <c r="O538" i="1"/>
  <c r="M538" i="1"/>
  <c r="L538" i="1"/>
  <c r="K538" i="1"/>
  <c r="J538" i="1" a="1"/>
  <c r="J538" i="1" s="1"/>
  <c r="Q537" i="1"/>
  <c r="P537" i="1"/>
  <c r="O537" i="1"/>
  <c r="M537" i="1"/>
  <c r="L537" i="1"/>
  <c r="K537" i="1"/>
  <c r="J537" i="1" a="1"/>
  <c r="J537" i="1" s="1"/>
  <c r="Q536" i="1"/>
  <c r="P536" i="1"/>
  <c r="O536" i="1"/>
  <c r="M536" i="1"/>
  <c r="L536" i="1"/>
  <c r="K536" i="1"/>
  <c r="J536" i="1" a="1"/>
  <c r="J536" i="1" s="1"/>
  <c r="Q535" i="1"/>
  <c r="P535" i="1"/>
  <c r="O535" i="1"/>
  <c r="M535" i="1"/>
  <c r="L535" i="1"/>
  <c r="K535" i="1"/>
  <c r="J535" i="1" a="1"/>
  <c r="J535" i="1" s="1"/>
  <c r="Q534" i="1"/>
  <c r="P534" i="1"/>
  <c r="O534" i="1"/>
  <c r="M534" i="1"/>
  <c r="L534" i="1"/>
  <c r="K534" i="1"/>
  <c r="J534" i="1" a="1"/>
  <c r="J534" i="1" s="1"/>
  <c r="Q533" i="1"/>
  <c r="P533" i="1"/>
  <c r="O533" i="1"/>
  <c r="M533" i="1"/>
  <c r="L533" i="1"/>
  <c r="K533" i="1"/>
  <c r="J533" i="1" a="1"/>
  <c r="J533" i="1" s="1"/>
  <c r="Q532" i="1"/>
  <c r="P532" i="1"/>
  <c r="O532" i="1"/>
  <c r="M532" i="1"/>
  <c r="L532" i="1"/>
  <c r="K532" i="1"/>
  <c r="J532" i="1" a="1"/>
  <c r="J532" i="1" s="1"/>
  <c r="Q531" i="1"/>
  <c r="P531" i="1"/>
  <c r="O531" i="1"/>
  <c r="M531" i="1"/>
  <c r="L531" i="1"/>
  <c r="K531" i="1"/>
  <c r="J531" i="1" a="1"/>
  <c r="J531" i="1" s="1"/>
  <c r="Q530" i="1"/>
  <c r="P530" i="1"/>
  <c r="O530" i="1"/>
  <c r="M530" i="1"/>
  <c r="L530" i="1"/>
  <c r="K530" i="1"/>
  <c r="J530" i="1" a="1"/>
  <c r="J530" i="1" s="1"/>
  <c r="Q529" i="1"/>
  <c r="P529" i="1"/>
  <c r="O529" i="1"/>
  <c r="M529" i="1"/>
  <c r="L529" i="1"/>
  <c r="K529" i="1"/>
  <c r="J529" i="1" a="1"/>
  <c r="J529" i="1" s="1"/>
  <c r="Q528" i="1"/>
  <c r="P528" i="1"/>
  <c r="O528" i="1"/>
  <c r="M528" i="1"/>
  <c r="L528" i="1"/>
  <c r="K528" i="1"/>
  <c r="J528" i="1" a="1"/>
  <c r="J528" i="1" s="1"/>
  <c r="Q527" i="1"/>
  <c r="P527" i="1"/>
  <c r="O527" i="1"/>
  <c r="M527" i="1"/>
  <c r="L527" i="1"/>
  <c r="K527" i="1"/>
  <c r="J527" i="1" a="1"/>
  <c r="J527" i="1" s="1"/>
  <c r="Q526" i="1"/>
  <c r="P526" i="1"/>
  <c r="O526" i="1"/>
  <c r="M526" i="1"/>
  <c r="L526" i="1"/>
  <c r="K526" i="1"/>
  <c r="J526" i="1" a="1"/>
  <c r="J526" i="1" s="1"/>
  <c r="Q525" i="1"/>
  <c r="P525" i="1"/>
  <c r="O525" i="1"/>
  <c r="M525" i="1"/>
  <c r="L525" i="1"/>
  <c r="K525" i="1"/>
  <c r="J525" i="1" a="1"/>
  <c r="J525" i="1" s="1"/>
  <c r="Q524" i="1"/>
  <c r="P524" i="1"/>
  <c r="O524" i="1"/>
  <c r="M524" i="1"/>
  <c r="L524" i="1"/>
  <c r="K524" i="1"/>
  <c r="J524" i="1" a="1"/>
  <c r="J524" i="1" s="1"/>
  <c r="Q523" i="1"/>
  <c r="P523" i="1"/>
  <c r="O523" i="1"/>
  <c r="M523" i="1"/>
  <c r="L523" i="1"/>
  <c r="K523" i="1"/>
  <c r="J523" i="1" a="1"/>
  <c r="J523" i="1" s="1"/>
  <c r="Q522" i="1"/>
  <c r="P522" i="1"/>
  <c r="O522" i="1"/>
  <c r="M522" i="1"/>
  <c r="L522" i="1"/>
  <c r="K522" i="1"/>
  <c r="J522" i="1" a="1"/>
  <c r="J522" i="1" s="1"/>
  <c r="Q521" i="1"/>
  <c r="P521" i="1"/>
  <c r="O521" i="1"/>
  <c r="M521" i="1"/>
  <c r="L521" i="1"/>
  <c r="K521" i="1"/>
  <c r="J521" i="1" a="1"/>
  <c r="J521" i="1" s="1"/>
  <c r="Q520" i="1"/>
  <c r="P520" i="1"/>
  <c r="O520" i="1"/>
  <c r="M520" i="1"/>
  <c r="L520" i="1"/>
  <c r="K520" i="1"/>
  <c r="J520" i="1" a="1"/>
  <c r="J520" i="1" s="1"/>
  <c r="Q519" i="1"/>
  <c r="P519" i="1"/>
  <c r="O519" i="1"/>
  <c r="M519" i="1"/>
  <c r="L519" i="1"/>
  <c r="K519" i="1"/>
  <c r="J519" i="1" a="1"/>
  <c r="J519" i="1" s="1"/>
  <c r="Q518" i="1"/>
  <c r="P518" i="1"/>
  <c r="O518" i="1"/>
  <c r="M518" i="1"/>
  <c r="L518" i="1"/>
  <c r="K518" i="1"/>
  <c r="J518" i="1" a="1"/>
  <c r="J518" i="1" s="1"/>
  <c r="Q517" i="1"/>
  <c r="P517" i="1"/>
  <c r="O517" i="1"/>
  <c r="M517" i="1"/>
  <c r="L517" i="1"/>
  <c r="K517" i="1"/>
  <c r="J517" i="1" a="1"/>
  <c r="J517" i="1" s="1"/>
  <c r="Q516" i="1"/>
  <c r="P516" i="1"/>
  <c r="O516" i="1"/>
  <c r="M516" i="1"/>
  <c r="L516" i="1"/>
  <c r="K516" i="1"/>
  <c r="J516" i="1" a="1"/>
  <c r="J516" i="1" s="1"/>
  <c r="Q515" i="1"/>
  <c r="P515" i="1"/>
  <c r="O515" i="1"/>
  <c r="M515" i="1"/>
  <c r="L515" i="1"/>
  <c r="K515" i="1"/>
  <c r="J515" i="1" a="1"/>
  <c r="J515" i="1" s="1"/>
  <c r="Q514" i="1"/>
  <c r="P514" i="1"/>
  <c r="O514" i="1"/>
  <c r="M514" i="1"/>
  <c r="L514" i="1"/>
  <c r="K514" i="1"/>
  <c r="J514" i="1" a="1"/>
  <c r="J514" i="1" s="1"/>
  <c r="Q513" i="1"/>
  <c r="P513" i="1"/>
  <c r="O513" i="1"/>
  <c r="M513" i="1"/>
  <c r="L513" i="1"/>
  <c r="K513" i="1"/>
  <c r="J513" i="1" a="1"/>
  <c r="J513" i="1" s="1"/>
  <c r="Q512" i="1"/>
  <c r="P512" i="1"/>
  <c r="O512" i="1"/>
  <c r="M512" i="1"/>
  <c r="L512" i="1"/>
  <c r="K512" i="1"/>
  <c r="J512" i="1" a="1"/>
  <c r="J512" i="1" s="1"/>
  <c r="Q511" i="1"/>
  <c r="P511" i="1"/>
  <c r="O511" i="1"/>
  <c r="M511" i="1"/>
  <c r="L511" i="1"/>
  <c r="K511" i="1"/>
  <c r="J511" i="1" a="1"/>
  <c r="J511" i="1" s="1"/>
  <c r="Q510" i="1"/>
  <c r="P510" i="1"/>
  <c r="O510" i="1"/>
  <c r="M510" i="1"/>
  <c r="L510" i="1"/>
  <c r="K510" i="1"/>
  <c r="J510" i="1" a="1"/>
  <c r="J510" i="1" s="1"/>
  <c r="Q509" i="1"/>
  <c r="P509" i="1"/>
  <c r="O509" i="1"/>
  <c r="M509" i="1"/>
  <c r="L509" i="1"/>
  <c r="K509" i="1"/>
  <c r="J509" i="1" a="1"/>
  <c r="J509" i="1" s="1"/>
  <c r="Q508" i="1"/>
  <c r="P508" i="1"/>
  <c r="O508" i="1"/>
  <c r="M508" i="1"/>
  <c r="L508" i="1"/>
  <c r="K508" i="1"/>
  <c r="J508" i="1" a="1"/>
  <c r="J508" i="1" s="1"/>
  <c r="Q507" i="1"/>
  <c r="P507" i="1"/>
  <c r="O507" i="1"/>
  <c r="M507" i="1"/>
  <c r="L507" i="1"/>
  <c r="K507" i="1"/>
  <c r="J507" i="1" a="1"/>
  <c r="J507" i="1" s="1"/>
  <c r="Q506" i="1"/>
  <c r="P506" i="1"/>
  <c r="O506" i="1"/>
  <c r="M506" i="1"/>
  <c r="L506" i="1"/>
  <c r="K506" i="1"/>
  <c r="J506" i="1" a="1"/>
  <c r="J506" i="1" s="1"/>
  <c r="Q505" i="1"/>
  <c r="P505" i="1"/>
  <c r="O505" i="1"/>
  <c r="M505" i="1"/>
  <c r="L505" i="1"/>
  <c r="K505" i="1"/>
  <c r="J505" i="1" a="1"/>
  <c r="J505" i="1" s="1"/>
  <c r="Q504" i="1"/>
  <c r="P504" i="1"/>
  <c r="O504" i="1"/>
  <c r="M504" i="1"/>
  <c r="L504" i="1"/>
  <c r="K504" i="1"/>
  <c r="J504" i="1" a="1"/>
  <c r="J504" i="1" s="1"/>
  <c r="Q503" i="1"/>
  <c r="P503" i="1"/>
  <c r="O503" i="1"/>
  <c r="M503" i="1"/>
  <c r="L503" i="1"/>
  <c r="K503" i="1"/>
  <c r="J503" i="1" a="1"/>
  <c r="J503" i="1" s="1"/>
  <c r="Q502" i="1"/>
  <c r="P502" i="1"/>
  <c r="O502" i="1"/>
  <c r="M502" i="1"/>
  <c r="L502" i="1"/>
  <c r="K502" i="1"/>
  <c r="J502" i="1" a="1"/>
  <c r="J502" i="1" s="1"/>
  <c r="Q501" i="1"/>
  <c r="P501" i="1"/>
  <c r="O501" i="1"/>
  <c r="M501" i="1"/>
  <c r="L501" i="1"/>
  <c r="K501" i="1"/>
  <c r="J501" i="1" a="1"/>
  <c r="J501" i="1" s="1"/>
  <c r="P500" i="1"/>
  <c r="O500" i="1"/>
  <c r="M500" i="1"/>
  <c r="L500" i="1"/>
  <c r="K500" i="1"/>
  <c r="J500" i="1" a="1"/>
  <c r="J500" i="1"/>
  <c r="P499" i="1"/>
  <c r="O499" i="1"/>
  <c r="M499" i="1"/>
  <c r="L499" i="1"/>
  <c r="K499" i="1"/>
  <c r="J499" i="1" a="1"/>
  <c r="J499" i="1"/>
  <c r="P498" i="1"/>
  <c r="O498" i="1"/>
  <c r="M498" i="1"/>
  <c r="L498" i="1"/>
  <c r="K498" i="1"/>
  <c r="J498" i="1" a="1"/>
  <c r="J498" i="1" s="1"/>
  <c r="P497" i="1"/>
  <c r="O497" i="1"/>
  <c r="M497" i="1"/>
  <c r="L497" i="1"/>
  <c r="K497" i="1"/>
  <c r="J497" i="1" a="1"/>
  <c r="J497" i="1" s="1"/>
  <c r="P496" i="1"/>
  <c r="O496" i="1"/>
  <c r="M496" i="1"/>
  <c r="L496" i="1"/>
  <c r="K496" i="1"/>
  <c r="J496" i="1" a="1"/>
  <c r="J496" i="1" s="1"/>
  <c r="P495" i="1"/>
  <c r="O495" i="1"/>
  <c r="M495" i="1"/>
  <c r="L495" i="1"/>
  <c r="K495" i="1"/>
  <c r="J495" i="1" a="1"/>
  <c r="J495" i="1" s="1"/>
  <c r="P494" i="1"/>
  <c r="O494" i="1"/>
  <c r="M494" i="1"/>
  <c r="L494" i="1"/>
  <c r="K494" i="1"/>
  <c r="J494" i="1" a="1"/>
  <c r="J494" i="1" s="1"/>
  <c r="P493" i="1"/>
  <c r="O493" i="1"/>
  <c r="M493" i="1"/>
  <c r="L493" i="1"/>
  <c r="K493" i="1"/>
  <c r="J493" i="1" a="1"/>
  <c r="J493" i="1" s="1"/>
  <c r="P492" i="1"/>
  <c r="O492" i="1"/>
  <c r="M492" i="1"/>
  <c r="L492" i="1"/>
  <c r="K492" i="1"/>
  <c r="J492" i="1" a="1"/>
  <c r="J492" i="1"/>
  <c r="P491" i="1"/>
  <c r="O491" i="1"/>
  <c r="M491" i="1"/>
  <c r="L491" i="1"/>
  <c r="K491" i="1"/>
  <c r="J491" i="1" a="1"/>
  <c r="J491" i="1" s="1"/>
  <c r="P490" i="1"/>
  <c r="O490" i="1"/>
  <c r="M490" i="1"/>
  <c r="L490" i="1"/>
  <c r="K490" i="1"/>
  <c r="J490" i="1" a="1"/>
  <c r="J490" i="1" s="1"/>
  <c r="P489" i="1"/>
  <c r="O489" i="1"/>
  <c r="M489" i="1"/>
  <c r="L489" i="1"/>
  <c r="K489" i="1"/>
  <c r="J489" i="1" a="1"/>
  <c r="J489" i="1"/>
  <c r="P488" i="1"/>
  <c r="O488" i="1"/>
  <c r="M488" i="1"/>
  <c r="L488" i="1"/>
  <c r="K488" i="1"/>
  <c r="J488" i="1" a="1"/>
  <c r="J488" i="1"/>
  <c r="P487" i="1"/>
  <c r="O487" i="1"/>
  <c r="M487" i="1"/>
  <c r="L487" i="1"/>
  <c r="K487" i="1"/>
  <c r="J487" i="1" a="1"/>
  <c r="J487" i="1" s="1"/>
  <c r="P486" i="1"/>
  <c r="O486" i="1"/>
  <c r="M486" i="1"/>
  <c r="L486" i="1"/>
  <c r="K486" i="1"/>
  <c r="J486" i="1" a="1"/>
  <c r="J486" i="1" s="1"/>
  <c r="P485" i="1"/>
  <c r="O485" i="1"/>
  <c r="M485" i="1"/>
  <c r="L485" i="1"/>
  <c r="K485" i="1"/>
  <c r="J485" i="1" a="1"/>
  <c r="J485" i="1"/>
  <c r="P484" i="1"/>
  <c r="O484" i="1"/>
  <c r="M484" i="1"/>
  <c r="L484" i="1"/>
  <c r="K484" i="1"/>
  <c r="J484" i="1" a="1"/>
  <c r="J484" i="1" s="1"/>
  <c r="P483" i="1"/>
  <c r="O483" i="1"/>
  <c r="M483" i="1"/>
  <c r="L483" i="1"/>
  <c r="K483" i="1"/>
  <c r="J483" i="1" a="1"/>
  <c r="J483" i="1"/>
  <c r="P482" i="1"/>
  <c r="O482" i="1"/>
  <c r="M482" i="1"/>
  <c r="L482" i="1"/>
  <c r="K482" i="1"/>
  <c r="J482" i="1" a="1"/>
  <c r="J482" i="1"/>
  <c r="P481" i="1"/>
  <c r="O481" i="1"/>
  <c r="M481" i="1"/>
  <c r="L481" i="1"/>
  <c r="K481" i="1"/>
  <c r="J481" i="1" a="1"/>
  <c r="J481" i="1" s="1"/>
  <c r="P480" i="1"/>
  <c r="O480" i="1"/>
  <c r="M480" i="1"/>
  <c r="L480" i="1"/>
  <c r="K480" i="1"/>
  <c r="J480" i="1" a="1"/>
  <c r="J480" i="1" s="1"/>
  <c r="P479" i="1"/>
  <c r="O479" i="1"/>
  <c r="M479" i="1"/>
  <c r="L479" i="1"/>
  <c r="K479" i="1"/>
  <c r="J479" i="1" a="1"/>
  <c r="J479" i="1"/>
  <c r="P478" i="1"/>
  <c r="O478" i="1"/>
  <c r="M478" i="1"/>
  <c r="L478" i="1"/>
  <c r="K478" i="1"/>
  <c r="J478" i="1" a="1"/>
  <c r="J478" i="1" s="1"/>
  <c r="P477" i="1"/>
  <c r="O477" i="1"/>
  <c r="M477" i="1"/>
  <c r="L477" i="1"/>
  <c r="K477" i="1"/>
  <c r="J477" i="1" a="1"/>
  <c r="J477" i="1" s="1"/>
  <c r="P476" i="1"/>
  <c r="O476" i="1"/>
  <c r="M476" i="1"/>
  <c r="L476" i="1"/>
  <c r="K476" i="1"/>
  <c r="J476" i="1" a="1"/>
  <c r="J476" i="1" s="1"/>
  <c r="P475" i="1"/>
  <c r="O475" i="1"/>
  <c r="M475" i="1"/>
  <c r="L475" i="1"/>
  <c r="K475" i="1"/>
  <c r="J475" i="1" a="1"/>
  <c r="J475" i="1"/>
  <c r="P474" i="1"/>
  <c r="O474" i="1"/>
  <c r="M474" i="1"/>
  <c r="L474" i="1"/>
  <c r="K474" i="1"/>
  <c r="J474" i="1" a="1"/>
  <c r="J474" i="1" s="1"/>
  <c r="P473" i="1"/>
  <c r="O473" i="1"/>
  <c r="M473" i="1"/>
  <c r="L473" i="1"/>
  <c r="K473" i="1"/>
  <c r="J473" i="1" a="1"/>
  <c r="J473" i="1"/>
  <c r="P472" i="1"/>
  <c r="O472" i="1"/>
  <c r="M472" i="1"/>
  <c r="L472" i="1"/>
  <c r="K472" i="1"/>
  <c r="J472" i="1" a="1"/>
  <c r="J472" i="1" s="1"/>
  <c r="P471" i="1"/>
  <c r="O471" i="1"/>
  <c r="M471" i="1"/>
  <c r="L471" i="1"/>
  <c r="K471" i="1"/>
  <c r="J471" i="1" a="1"/>
  <c r="J471" i="1"/>
  <c r="P470" i="1"/>
  <c r="O470" i="1"/>
  <c r="M470" i="1"/>
  <c r="L470" i="1"/>
  <c r="K470" i="1"/>
  <c r="J470" i="1" a="1"/>
  <c r="J470" i="1" s="1"/>
  <c r="P469" i="1"/>
  <c r="O469" i="1"/>
  <c r="M469" i="1"/>
  <c r="L469" i="1"/>
  <c r="K469" i="1"/>
  <c r="J469" i="1" a="1"/>
  <c r="J469" i="1" s="1"/>
  <c r="P468" i="1"/>
  <c r="O468" i="1"/>
  <c r="M468" i="1"/>
  <c r="L468" i="1"/>
  <c r="K468" i="1"/>
  <c r="J468" i="1" a="1"/>
  <c r="J468" i="1" s="1"/>
  <c r="P467" i="1"/>
  <c r="O467" i="1"/>
  <c r="M467" i="1"/>
  <c r="L467" i="1"/>
  <c r="K467" i="1"/>
  <c r="J467" i="1" a="1"/>
  <c r="J467" i="1" s="1"/>
  <c r="P466" i="1"/>
  <c r="O466" i="1"/>
  <c r="M466" i="1"/>
  <c r="L466" i="1"/>
  <c r="K466" i="1"/>
  <c r="J466" i="1" a="1"/>
  <c r="J466" i="1"/>
  <c r="P465" i="1"/>
  <c r="O465" i="1"/>
  <c r="M465" i="1"/>
  <c r="L465" i="1"/>
  <c r="K465" i="1"/>
  <c r="J465" i="1" a="1"/>
  <c r="J465" i="1" s="1"/>
  <c r="P464" i="1"/>
  <c r="O464" i="1"/>
  <c r="M464" i="1"/>
  <c r="L464" i="1"/>
  <c r="K464" i="1"/>
  <c r="J464" i="1" a="1"/>
  <c r="J464" i="1" s="1"/>
  <c r="P463" i="1"/>
  <c r="O463" i="1"/>
  <c r="M463" i="1"/>
  <c r="L463" i="1"/>
  <c r="K463" i="1"/>
  <c r="J463" i="1" a="1"/>
  <c r="J463" i="1"/>
  <c r="P462" i="1"/>
  <c r="O462" i="1"/>
  <c r="M462" i="1"/>
  <c r="L462" i="1"/>
  <c r="K462" i="1"/>
  <c r="J462" i="1" a="1"/>
  <c r="J462" i="1" s="1"/>
  <c r="P461" i="1"/>
  <c r="O461" i="1"/>
  <c r="M461" i="1"/>
  <c r="L461" i="1"/>
  <c r="K461" i="1"/>
  <c r="J461" i="1" a="1"/>
  <c r="J461" i="1" s="1"/>
  <c r="P460" i="1"/>
  <c r="O460" i="1"/>
  <c r="M460" i="1"/>
  <c r="L460" i="1"/>
  <c r="K460" i="1"/>
  <c r="J460" i="1" a="1"/>
  <c r="J460" i="1" s="1"/>
  <c r="P459" i="1"/>
  <c r="O459" i="1"/>
  <c r="M459" i="1"/>
  <c r="L459" i="1"/>
  <c r="K459" i="1"/>
  <c r="J459" i="1" a="1"/>
  <c r="J459" i="1"/>
  <c r="P458" i="1"/>
  <c r="O458" i="1"/>
  <c r="M458" i="1"/>
  <c r="L458" i="1"/>
  <c r="K458" i="1"/>
  <c r="J458" i="1" a="1"/>
  <c r="J458" i="1" s="1"/>
  <c r="P457" i="1"/>
  <c r="O457" i="1"/>
  <c r="M457" i="1"/>
  <c r="L457" i="1"/>
  <c r="K457" i="1"/>
  <c r="J457" i="1" a="1"/>
  <c r="J457" i="1"/>
  <c r="P456" i="1"/>
  <c r="O456" i="1"/>
  <c r="M456" i="1"/>
  <c r="L456" i="1"/>
  <c r="K456" i="1"/>
  <c r="J456" i="1" a="1"/>
  <c r="J456" i="1" s="1"/>
  <c r="P455" i="1"/>
  <c r="O455" i="1"/>
  <c r="M455" i="1"/>
  <c r="L455" i="1"/>
  <c r="K455" i="1"/>
  <c r="J455" i="1" a="1"/>
  <c r="J455" i="1"/>
  <c r="P454" i="1"/>
  <c r="O454" i="1"/>
  <c r="M454" i="1"/>
  <c r="L454" i="1"/>
  <c r="K454" i="1"/>
  <c r="J454" i="1" a="1"/>
  <c r="J454" i="1" s="1"/>
  <c r="P453" i="1"/>
  <c r="O453" i="1"/>
  <c r="M453" i="1"/>
  <c r="L453" i="1"/>
  <c r="K453" i="1"/>
  <c r="J453" i="1" a="1"/>
  <c r="J453" i="1" s="1"/>
  <c r="P452" i="1"/>
  <c r="O452" i="1"/>
  <c r="M452" i="1"/>
  <c r="L452" i="1"/>
  <c r="K452" i="1"/>
  <c r="J452" i="1" a="1"/>
  <c r="J452" i="1"/>
  <c r="P451" i="1"/>
  <c r="O451" i="1"/>
  <c r="M451" i="1"/>
  <c r="L451" i="1"/>
  <c r="K451" i="1"/>
  <c r="J451" i="1" a="1"/>
  <c r="J451" i="1" s="1"/>
  <c r="P450" i="1"/>
  <c r="O450" i="1"/>
  <c r="M450" i="1"/>
  <c r="L450" i="1"/>
  <c r="K450" i="1"/>
  <c r="J450" i="1" a="1"/>
  <c r="J450" i="1"/>
  <c r="P449" i="1"/>
  <c r="O449" i="1"/>
  <c r="M449" i="1"/>
  <c r="L449" i="1"/>
  <c r="K449" i="1"/>
  <c r="J449" i="1" a="1"/>
  <c r="J449" i="1"/>
  <c r="P448" i="1"/>
  <c r="O448" i="1"/>
  <c r="M448" i="1"/>
  <c r="L448" i="1"/>
  <c r="K448" i="1"/>
  <c r="J448" i="1" a="1"/>
  <c r="J448" i="1" s="1"/>
  <c r="M447" i="1"/>
  <c r="L447" i="1"/>
  <c r="K447" i="1"/>
  <c r="J447" i="1" a="1"/>
  <c r="J447" i="1"/>
  <c r="M446" i="1"/>
  <c r="L446" i="1"/>
  <c r="K446" i="1"/>
  <c r="J446" i="1" a="1"/>
  <c r="J446" i="1" s="1"/>
  <c r="M445" i="1"/>
  <c r="L445" i="1"/>
  <c r="K445" i="1"/>
  <c r="J445" i="1" a="1"/>
  <c r="J445" i="1" s="1"/>
  <c r="M444" i="1"/>
  <c r="L444" i="1"/>
  <c r="K444" i="1"/>
  <c r="J444" i="1" a="1"/>
  <c r="J444" i="1" s="1"/>
  <c r="M443" i="1"/>
  <c r="L443" i="1"/>
  <c r="K443" i="1"/>
  <c r="J443" i="1" a="1"/>
  <c r="J443" i="1" s="1"/>
  <c r="M442" i="1"/>
  <c r="L442" i="1"/>
  <c r="K442" i="1"/>
  <c r="J442" i="1" a="1"/>
  <c r="J442" i="1" s="1"/>
  <c r="M441" i="1"/>
  <c r="L441" i="1"/>
  <c r="K441" i="1"/>
  <c r="J441" i="1" a="1"/>
  <c r="J441" i="1" s="1"/>
  <c r="M440" i="1"/>
  <c r="L440" i="1"/>
  <c r="K440" i="1"/>
  <c r="J440" i="1" a="1"/>
  <c r="J440" i="1" s="1"/>
  <c r="M439" i="1"/>
  <c r="L439" i="1"/>
  <c r="K439" i="1"/>
  <c r="J439" i="1" a="1"/>
  <c r="J439" i="1" s="1"/>
  <c r="M438" i="1"/>
  <c r="L438" i="1"/>
  <c r="K438" i="1"/>
  <c r="J438" i="1" a="1"/>
  <c r="J438" i="1" s="1"/>
  <c r="M437" i="1"/>
  <c r="L437" i="1"/>
  <c r="K437" i="1"/>
  <c r="J437" i="1" a="1"/>
  <c r="J437" i="1" s="1"/>
  <c r="M436" i="1"/>
  <c r="L436" i="1"/>
  <c r="K436" i="1"/>
  <c r="J436" i="1" a="1"/>
  <c r="J436" i="1" s="1"/>
  <c r="M435" i="1"/>
  <c r="L435" i="1"/>
  <c r="K435" i="1"/>
  <c r="J435" i="1" a="1"/>
  <c r="J435" i="1" s="1"/>
  <c r="M434" i="1"/>
  <c r="L434" i="1"/>
  <c r="K434" i="1"/>
  <c r="J434" i="1" a="1"/>
  <c r="J434" i="1" s="1"/>
  <c r="M433" i="1"/>
  <c r="L433" i="1"/>
  <c r="K433" i="1"/>
  <c r="J433" i="1" a="1"/>
  <c r="J433" i="1"/>
  <c r="M432" i="1"/>
  <c r="L432" i="1"/>
  <c r="K432" i="1"/>
  <c r="J432" i="1" a="1"/>
  <c r="J432" i="1"/>
  <c r="M431" i="1"/>
  <c r="L431" i="1"/>
  <c r="K431" i="1"/>
  <c r="J431" i="1" a="1"/>
  <c r="J431" i="1" s="1"/>
  <c r="M430" i="1"/>
  <c r="L430" i="1"/>
  <c r="K430" i="1"/>
  <c r="J430" i="1" a="1"/>
  <c r="J430" i="1" s="1"/>
  <c r="M429" i="1"/>
  <c r="L429" i="1"/>
  <c r="K429" i="1"/>
  <c r="J429" i="1" a="1"/>
  <c r="J429" i="1"/>
  <c r="M428" i="1"/>
  <c r="L428" i="1"/>
  <c r="K428" i="1"/>
  <c r="J428" i="1" a="1"/>
  <c r="J428" i="1"/>
  <c r="M427" i="1"/>
  <c r="L427" i="1"/>
  <c r="K427" i="1"/>
  <c r="J427" i="1" a="1"/>
  <c r="J427" i="1" s="1"/>
  <c r="M426" i="1"/>
  <c r="L426" i="1"/>
  <c r="K426" i="1"/>
  <c r="J426" i="1" a="1"/>
  <c r="J426" i="1" s="1"/>
  <c r="M425" i="1"/>
  <c r="L425" i="1"/>
  <c r="K425" i="1"/>
  <c r="J425" i="1" a="1"/>
  <c r="J425" i="1" s="1"/>
  <c r="M424" i="1"/>
  <c r="L424" i="1"/>
  <c r="K424" i="1"/>
  <c r="J424" i="1" a="1"/>
  <c r="J424" i="1" s="1"/>
  <c r="M423" i="1"/>
  <c r="L423" i="1"/>
  <c r="K423" i="1"/>
  <c r="J423" i="1" a="1"/>
  <c r="J423" i="1"/>
  <c r="M422" i="1"/>
  <c r="L422" i="1"/>
  <c r="K422" i="1"/>
  <c r="J422" i="1" a="1"/>
  <c r="J422" i="1" s="1"/>
  <c r="M421" i="1"/>
  <c r="L421" i="1"/>
  <c r="K421" i="1"/>
  <c r="J421" i="1" a="1"/>
  <c r="J421" i="1" s="1"/>
  <c r="M420" i="1"/>
  <c r="L420" i="1"/>
  <c r="K420" i="1"/>
  <c r="J420" i="1" a="1"/>
  <c r="J420" i="1"/>
  <c r="M419" i="1"/>
  <c r="L419" i="1"/>
  <c r="K419" i="1"/>
  <c r="J419" i="1" a="1"/>
  <c r="J419" i="1"/>
  <c r="M418" i="1"/>
  <c r="L418" i="1"/>
  <c r="K418" i="1"/>
  <c r="J418" i="1" a="1"/>
  <c r="J418" i="1" s="1"/>
  <c r="M417" i="1"/>
  <c r="L417" i="1"/>
  <c r="K417" i="1"/>
  <c r="J417" i="1" a="1"/>
  <c r="J417" i="1" s="1"/>
  <c r="M416" i="1"/>
  <c r="L416" i="1"/>
  <c r="K416" i="1"/>
  <c r="J416" i="1" a="1"/>
  <c r="J416" i="1"/>
  <c r="M415" i="1"/>
  <c r="L415" i="1"/>
  <c r="K415" i="1"/>
  <c r="J415" i="1" a="1"/>
  <c r="J415" i="1" s="1"/>
  <c r="M414" i="1"/>
  <c r="L414" i="1"/>
  <c r="K414" i="1"/>
  <c r="J414" i="1" a="1"/>
  <c r="J414" i="1"/>
  <c r="M413" i="1"/>
  <c r="L413" i="1"/>
  <c r="K413" i="1"/>
  <c r="J413" i="1" a="1"/>
  <c r="J413" i="1" s="1"/>
  <c r="M412" i="1"/>
  <c r="L412" i="1"/>
  <c r="K412" i="1"/>
  <c r="J412" i="1" a="1"/>
  <c r="J412" i="1" s="1"/>
  <c r="M411" i="1"/>
  <c r="L411" i="1"/>
  <c r="K411" i="1"/>
  <c r="J411" i="1" a="1"/>
  <c r="J411" i="1"/>
  <c r="M410" i="1"/>
  <c r="L410" i="1"/>
  <c r="K410" i="1"/>
  <c r="J410" i="1" a="1"/>
  <c r="J410" i="1" s="1"/>
  <c r="M409" i="1"/>
  <c r="L409" i="1"/>
  <c r="K409" i="1"/>
  <c r="J409" i="1" a="1"/>
  <c r="J409" i="1" s="1"/>
  <c r="M408" i="1"/>
  <c r="L408" i="1"/>
  <c r="K408" i="1"/>
  <c r="J408" i="1" a="1"/>
  <c r="J408" i="1" s="1"/>
  <c r="M407" i="1"/>
  <c r="L407" i="1"/>
  <c r="K407" i="1"/>
  <c r="J407" i="1" a="1"/>
  <c r="J407" i="1" s="1"/>
  <c r="M406" i="1"/>
  <c r="L406" i="1"/>
  <c r="K406" i="1"/>
  <c r="J406" i="1" a="1"/>
  <c r="J406" i="1" s="1"/>
  <c r="M405" i="1"/>
  <c r="L405" i="1"/>
  <c r="K405" i="1"/>
  <c r="J405" i="1" a="1"/>
  <c r="J405" i="1" s="1"/>
  <c r="M404" i="1"/>
  <c r="L404" i="1"/>
  <c r="K404" i="1"/>
  <c r="J404" i="1" a="1"/>
  <c r="J404" i="1" s="1"/>
  <c r="M403" i="1"/>
  <c r="L403" i="1"/>
  <c r="K403" i="1"/>
  <c r="J403" i="1" a="1"/>
  <c r="J403" i="1" s="1"/>
  <c r="M402" i="1"/>
  <c r="L402" i="1"/>
  <c r="K402" i="1"/>
  <c r="J402" i="1" a="1"/>
  <c r="J402" i="1" s="1"/>
  <c r="M401" i="1"/>
  <c r="L401" i="1"/>
  <c r="K401" i="1"/>
  <c r="J401" i="1" a="1"/>
  <c r="J401" i="1" s="1"/>
  <c r="M400" i="1"/>
  <c r="L400" i="1"/>
  <c r="K400" i="1"/>
  <c r="J400" i="1" a="1"/>
  <c r="J400" i="1" s="1"/>
  <c r="M399" i="1"/>
  <c r="L399" i="1"/>
  <c r="K399" i="1"/>
  <c r="J399" i="1" a="1"/>
  <c r="J399" i="1" s="1"/>
  <c r="M398" i="1"/>
  <c r="L398" i="1"/>
  <c r="K398" i="1"/>
  <c r="J398" i="1" a="1"/>
  <c r="J398" i="1" s="1"/>
  <c r="M397" i="1"/>
  <c r="L397" i="1"/>
  <c r="K397" i="1"/>
  <c r="J397" i="1" a="1"/>
  <c r="J397" i="1" s="1"/>
  <c r="M396" i="1"/>
  <c r="L396" i="1"/>
  <c r="K396" i="1"/>
  <c r="J396" i="1" a="1"/>
  <c r="J396" i="1" s="1"/>
  <c r="M395" i="1"/>
  <c r="L395" i="1"/>
  <c r="K395" i="1"/>
  <c r="J395" i="1" a="1"/>
  <c r="J395" i="1" s="1"/>
  <c r="N394" i="1"/>
  <c r="M394" i="1"/>
  <c r="L394" i="1"/>
  <c r="K394" i="1"/>
  <c r="J394" i="1" a="1"/>
  <c r="J394" i="1"/>
  <c r="N393" i="1"/>
  <c r="M393" i="1"/>
  <c r="L393" i="1"/>
  <c r="K393" i="1"/>
  <c r="J393" i="1" a="1"/>
  <c r="J393" i="1" s="1"/>
  <c r="N392" i="1"/>
  <c r="M392" i="1"/>
  <c r="L392" i="1"/>
  <c r="K392" i="1"/>
  <c r="J392" i="1" a="1"/>
  <c r="J392" i="1" s="1"/>
  <c r="N391" i="1"/>
  <c r="M391" i="1"/>
  <c r="L391" i="1"/>
  <c r="K391" i="1"/>
  <c r="J391" i="1" a="1"/>
  <c r="J391" i="1" s="1"/>
  <c r="N390" i="1"/>
  <c r="M390" i="1"/>
  <c r="L390" i="1"/>
  <c r="K390" i="1"/>
  <c r="J390" i="1" a="1"/>
  <c r="J390" i="1" s="1"/>
  <c r="N389" i="1"/>
  <c r="M389" i="1"/>
  <c r="L389" i="1"/>
  <c r="K389" i="1"/>
  <c r="J389" i="1" a="1"/>
  <c r="J389" i="1" s="1"/>
  <c r="N388" i="1"/>
  <c r="M388" i="1"/>
  <c r="L388" i="1"/>
  <c r="K388" i="1"/>
  <c r="J388" i="1" a="1"/>
  <c r="J388" i="1" s="1"/>
  <c r="N387" i="1"/>
  <c r="M387" i="1"/>
  <c r="L387" i="1"/>
  <c r="K387" i="1"/>
  <c r="J387" i="1" a="1"/>
  <c r="J387" i="1" s="1"/>
  <c r="N386" i="1"/>
  <c r="M386" i="1"/>
  <c r="L386" i="1"/>
  <c r="K386" i="1"/>
  <c r="J386" i="1" a="1"/>
  <c r="J386" i="1" s="1"/>
  <c r="N385" i="1"/>
  <c r="M385" i="1"/>
  <c r="L385" i="1"/>
  <c r="K385" i="1"/>
  <c r="J385" i="1" a="1"/>
  <c r="J385" i="1" s="1"/>
  <c r="N384" i="1"/>
  <c r="M384" i="1"/>
  <c r="L384" i="1"/>
  <c r="K384" i="1"/>
  <c r="J384" i="1" a="1"/>
  <c r="J384" i="1" s="1"/>
  <c r="N383" i="1"/>
  <c r="M383" i="1"/>
  <c r="L383" i="1"/>
  <c r="K383" i="1"/>
  <c r="J383" i="1" a="1"/>
  <c r="J383" i="1" s="1"/>
  <c r="N382" i="1"/>
  <c r="M382" i="1"/>
  <c r="L382" i="1"/>
  <c r="K382" i="1"/>
  <c r="J382" i="1" a="1"/>
  <c r="J382" i="1" s="1"/>
  <c r="N381" i="1"/>
  <c r="M381" i="1"/>
  <c r="L381" i="1"/>
  <c r="K381" i="1"/>
  <c r="J381" i="1" a="1"/>
  <c r="J381" i="1" s="1"/>
  <c r="N380" i="1"/>
  <c r="M380" i="1"/>
  <c r="L380" i="1"/>
  <c r="K380" i="1"/>
  <c r="J380" i="1" a="1"/>
  <c r="J380" i="1" s="1"/>
  <c r="N379" i="1"/>
  <c r="M379" i="1"/>
  <c r="L379" i="1"/>
  <c r="K379" i="1"/>
  <c r="J379" i="1" a="1"/>
  <c r="J379" i="1" s="1"/>
  <c r="N378" i="1"/>
  <c r="M378" i="1"/>
  <c r="L378" i="1"/>
  <c r="K378" i="1"/>
  <c r="J378" i="1" a="1"/>
  <c r="J378" i="1"/>
  <c r="N377" i="1"/>
  <c r="M377" i="1"/>
  <c r="L377" i="1"/>
  <c r="K377" i="1"/>
  <c r="J377" i="1" a="1"/>
  <c r="J377" i="1" s="1"/>
  <c r="N376" i="1"/>
  <c r="M376" i="1"/>
  <c r="L376" i="1"/>
  <c r="K376" i="1"/>
  <c r="J376" i="1" a="1"/>
  <c r="J376" i="1" s="1"/>
  <c r="N375" i="1"/>
  <c r="M375" i="1"/>
  <c r="L375" i="1"/>
  <c r="K375" i="1"/>
  <c r="J375" i="1" a="1"/>
  <c r="J375" i="1"/>
  <c r="N374" i="1"/>
  <c r="M374" i="1"/>
  <c r="L374" i="1"/>
  <c r="K374" i="1"/>
  <c r="J374" i="1" a="1"/>
  <c r="J374" i="1" s="1"/>
  <c r="N373" i="1"/>
  <c r="M373" i="1"/>
  <c r="L373" i="1"/>
  <c r="K373" i="1"/>
  <c r="J373" i="1" a="1"/>
  <c r="J373" i="1" s="1"/>
  <c r="N372" i="1"/>
  <c r="M372" i="1"/>
  <c r="L372" i="1"/>
  <c r="K372" i="1"/>
  <c r="J372" i="1" a="1"/>
  <c r="J372" i="1" s="1"/>
  <c r="N371" i="1"/>
  <c r="M371" i="1"/>
  <c r="L371" i="1"/>
  <c r="K371" i="1"/>
  <c r="J371" i="1" a="1"/>
  <c r="J371" i="1" s="1"/>
  <c r="N370" i="1"/>
  <c r="M370" i="1"/>
  <c r="L370" i="1"/>
  <c r="K370" i="1"/>
  <c r="J370" i="1" a="1"/>
  <c r="J370" i="1" s="1"/>
  <c r="N369" i="1"/>
  <c r="M369" i="1"/>
  <c r="L369" i="1"/>
  <c r="K369" i="1"/>
  <c r="J369" i="1" a="1"/>
  <c r="J369" i="1" s="1"/>
  <c r="M368" i="1"/>
  <c r="L368" i="1"/>
  <c r="K368" i="1"/>
  <c r="J368" i="1" a="1"/>
  <c r="J368" i="1" s="1"/>
  <c r="M367" i="1"/>
  <c r="L367" i="1"/>
  <c r="K367" i="1"/>
  <c r="J367" i="1" a="1"/>
  <c r="J367" i="1"/>
  <c r="M366" i="1"/>
  <c r="L366" i="1"/>
  <c r="K366" i="1"/>
  <c r="J366" i="1" a="1"/>
  <c r="J366" i="1" s="1"/>
  <c r="M365" i="1"/>
  <c r="L365" i="1"/>
  <c r="K365" i="1"/>
  <c r="J365" i="1" a="1"/>
  <c r="J365" i="1" s="1"/>
  <c r="M364" i="1"/>
  <c r="L364" i="1"/>
  <c r="K364" i="1"/>
  <c r="J364" i="1" a="1"/>
  <c r="J364" i="1" s="1"/>
  <c r="M363" i="1"/>
  <c r="L363" i="1"/>
  <c r="K363" i="1"/>
  <c r="J363" i="1" a="1"/>
  <c r="J363" i="1" s="1"/>
  <c r="M362" i="1"/>
  <c r="L362" i="1"/>
  <c r="K362" i="1"/>
  <c r="J362" i="1" a="1"/>
  <c r="J362" i="1" s="1"/>
  <c r="M361" i="1"/>
  <c r="L361" i="1"/>
  <c r="K361" i="1"/>
  <c r="J361" i="1" a="1"/>
  <c r="J361" i="1" s="1"/>
  <c r="M360" i="1"/>
  <c r="L360" i="1"/>
  <c r="K360" i="1"/>
  <c r="J360" i="1" a="1"/>
  <c r="J360" i="1" s="1"/>
  <c r="M359" i="1"/>
  <c r="L359" i="1"/>
  <c r="K359" i="1"/>
  <c r="J359" i="1" a="1"/>
  <c r="J359" i="1" s="1"/>
  <c r="M358" i="1"/>
  <c r="L358" i="1"/>
  <c r="K358" i="1"/>
  <c r="J358" i="1" a="1"/>
  <c r="J358" i="1" s="1"/>
  <c r="M357" i="1"/>
  <c r="L357" i="1"/>
  <c r="K357" i="1"/>
  <c r="J357" i="1" a="1"/>
  <c r="J357" i="1"/>
  <c r="M356" i="1"/>
  <c r="L356" i="1"/>
  <c r="K356" i="1"/>
  <c r="J356" i="1" a="1"/>
  <c r="J356" i="1" s="1"/>
  <c r="M355" i="1"/>
  <c r="L355" i="1"/>
  <c r="K355" i="1"/>
  <c r="J355" i="1" a="1"/>
  <c r="J355" i="1" s="1"/>
  <c r="M354" i="1"/>
  <c r="L354" i="1"/>
  <c r="K354" i="1"/>
  <c r="J354" i="1" a="1"/>
  <c r="J354" i="1" s="1"/>
  <c r="M353" i="1"/>
  <c r="L353" i="1"/>
  <c r="K353" i="1"/>
  <c r="J353" i="1" a="1"/>
  <c r="J353" i="1" s="1"/>
  <c r="M352" i="1"/>
  <c r="L352" i="1"/>
  <c r="K352" i="1"/>
  <c r="J352" i="1" a="1"/>
  <c r="J352" i="1" s="1"/>
  <c r="M351" i="1"/>
  <c r="L351" i="1"/>
  <c r="K351" i="1"/>
  <c r="J351" i="1" a="1"/>
  <c r="J351" i="1"/>
  <c r="M350" i="1"/>
  <c r="L350" i="1"/>
  <c r="K350" i="1"/>
  <c r="J350" i="1" a="1"/>
  <c r="J350" i="1"/>
  <c r="M349" i="1"/>
  <c r="L349" i="1"/>
  <c r="K349" i="1"/>
  <c r="J349" i="1" a="1"/>
  <c r="J349" i="1" s="1"/>
  <c r="M348" i="1"/>
  <c r="L348" i="1"/>
  <c r="K348" i="1"/>
  <c r="J348" i="1" a="1"/>
  <c r="J348" i="1" s="1"/>
  <c r="M347" i="1"/>
  <c r="L347" i="1"/>
  <c r="K347" i="1"/>
  <c r="J347" i="1" a="1"/>
  <c r="J347" i="1" s="1"/>
  <c r="M346" i="1"/>
  <c r="L346" i="1"/>
  <c r="K346" i="1"/>
  <c r="J346" i="1" a="1"/>
  <c r="J346" i="1" s="1"/>
  <c r="M345" i="1"/>
  <c r="L345" i="1"/>
  <c r="K345" i="1"/>
  <c r="J345" i="1" a="1"/>
  <c r="J345" i="1" s="1"/>
  <c r="M344" i="1"/>
  <c r="L344" i="1"/>
  <c r="K344" i="1"/>
  <c r="J344" i="1" a="1"/>
  <c r="J344" i="1"/>
  <c r="M343" i="1"/>
  <c r="L343" i="1"/>
  <c r="K343" i="1"/>
  <c r="J343" i="1" a="1"/>
  <c r="J343" i="1" s="1"/>
  <c r="M342" i="1"/>
  <c r="L342" i="1"/>
  <c r="K342" i="1"/>
  <c r="J342" i="1" a="1"/>
  <c r="J342" i="1" s="1"/>
  <c r="M341" i="1"/>
  <c r="L341" i="1"/>
  <c r="K341" i="1"/>
  <c r="J341" i="1" a="1"/>
  <c r="J341" i="1" s="1"/>
  <c r="M340" i="1"/>
  <c r="L340" i="1"/>
  <c r="K340" i="1"/>
  <c r="J340" i="1" a="1"/>
  <c r="J340" i="1" s="1"/>
  <c r="M339" i="1"/>
  <c r="L339" i="1"/>
  <c r="K339" i="1"/>
  <c r="J339" i="1" a="1"/>
  <c r="J339" i="1" s="1"/>
  <c r="M338" i="1"/>
  <c r="L338" i="1"/>
  <c r="K338" i="1"/>
  <c r="J338" i="1" a="1"/>
  <c r="J338" i="1" s="1"/>
  <c r="M337" i="1"/>
  <c r="L337" i="1"/>
  <c r="K337" i="1"/>
  <c r="J337" i="1" a="1"/>
  <c r="J337" i="1" s="1"/>
  <c r="M336" i="1"/>
  <c r="L336" i="1"/>
  <c r="K336" i="1"/>
  <c r="J336" i="1" a="1"/>
  <c r="J336" i="1" s="1"/>
  <c r="M335" i="1"/>
  <c r="L335" i="1"/>
  <c r="K335" i="1"/>
  <c r="J335" i="1" a="1"/>
  <c r="J335" i="1"/>
  <c r="M334" i="1"/>
  <c r="L334" i="1"/>
  <c r="K334" i="1"/>
  <c r="J334" i="1" a="1"/>
  <c r="J334" i="1" s="1"/>
  <c r="M333" i="1"/>
  <c r="L333" i="1"/>
  <c r="K333" i="1"/>
  <c r="J333" i="1" a="1"/>
  <c r="J333" i="1" s="1"/>
  <c r="M332" i="1"/>
  <c r="L332" i="1"/>
  <c r="K332" i="1"/>
  <c r="J332" i="1" a="1"/>
  <c r="J332" i="1" s="1"/>
  <c r="M331" i="1"/>
  <c r="L331" i="1"/>
  <c r="K331" i="1"/>
  <c r="J331" i="1" a="1"/>
  <c r="J331" i="1" s="1"/>
  <c r="M330" i="1"/>
  <c r="L330" i="1"/>
  <c r="K330" i="1"/>
  <c r="J330" i="1" a="1"/>
  <c r="J330" i="1" s="1"/>
  <c r="M329" i="1"/>
  <c r="L329" i="1"/>
  <c r="K329" i="1"/>
  <c r="J329" i="1" a="1"/>
  <c r="J329" i="1" s="1"/>
  <c r="M328" i="1"/>
  <c r="L328" i="1"/>
  <c r="K328" i="1"/>
  <c r="J328" i="1" a="1"/>
  <c r="J328" i="1" s="1"/>
  <c r="M327" i="1"/>
  <c r="L327" i="1"/>
  <c r="K327" i="1"/>
  <c r="J327" i="1" a="1"/>
  <c r="J327" i="1" s="1"/>
  <c r="M326" i="1"/>
  <c r="L326" i="1"/>
  <c r="K326" i="1"/>
  <c r="J326" i="1" a="1"/>
  <c r="J326" i="1"/>
  <c r="M325" i="1"/>
  <c r="L325" i="1"/>
  <c r="K325" i="1"/>
  <c r="J325" i="1" a="1"/>
  <c r="J325" i="1" s="1"/>
  <c r="M324" i="1"/>
  <c r="L324" i="1"/>
  <c r="K324" i="1"/>
  <c r="J324" i="1" a="1"/>
  <c r="J324" i="1" s="1"/>
  <c r="M323" i="1"/>
  <c r="L323" i="1"/>
  <c r="K323" i="1"/>
  <c r="J323" i="1" a="1"/>
  <c r="J323" i="1" s="1"/>
  <c r="M322" i="1"/>
  <c r="L322" i="1"/>
  <c r="K322" i="1"/>
  <c r="J322" i="1" a="1"/>
  <c r="J322" i="1" s="1"/>
  <c r="M321" i="1"/>
  <c r="L321" i="1"/>
  <c r="K321" i="1"/>
  <c r="J321" i="1" a="1"/>
  <c r="J321" i="1" s="1"/>
  <c r="M320" i="1"/>
  <c r="L320" i="1"/>
  <c r="K320" i="1"/>
  <c r="J320" i="1" a="1"/>
  <c r="J320" i="1"/>
  <c r="M319" i="1"/>
  <c r="L319" i="1"/>
  <c r="K319" i="1"/>
  <c r="J319" i="1" a="1"/>
  <c r="J319" i="1"/>
  <c r="M318" i="1"/>
  <c r="L318" i="1"/>
  <c r="K318" i="1"/>
  <c r="J318" i="1" a="1"/>
  <c r="J318" i="1" s="1"/>
  <c r="M317" i="1"/>
  <c r="L317" i="1"/>
  <c r="K317" i="1"/>
  <c r="J317" i="1" a="1"/>
  <c r="J317" i="1" s="1"/>
  <c r="M316" i="1"/>
  <c r="L316" i="1"/>
  <c r="K316" i="1"/>
  <c r="J316" i="1" a="1"/>
  <c r="J316" i="1" s="1"/>
  <c r="M315" i="1"/>
  <c r="L315" i="1"/>
  <c r="K315" i="1"/>
  <c r="J315" i="1" a="1"/>
  <c r="J315" i="1" s="1"/>
  <c r="M314" i="1"/>
  <c r="L314" i="1"/>
  <c r="K314" i="1"/>
  <c r="J314" i="1" a="1"/>
  <c r="J314" i="1" s="1"/>
  <c r="M313" i="1"/>
  <c r="L313" i="1"/>
  <c r="K313" i="1"/>
  <c r="J313" i="1" a="1"/>
  <c r="J313" i="1" s="1"/>
  <c r="M312" i="1"/>
  <c r="L312" i="1"/>
  <c r="K312" i="1"/>
  <c r="J312" i="1" a="1"/>
  <c r="J312" i="1" s="1"/>
  <c r="M311" i="1"/>
  <c r="L311" i="1"/>
  <c r="K311" i="1"/>
  <c r="J311" i="1" a="1"/>
  <c r="J311" i="1" s="1"/>
  <c r="M310" i="1"/>
  <c r="L310" i="1"/>
  <c r="K310" i="1"/>
  <c r="J310" i="1" a="1"/>
  <c r="J310" i="1" s="1"/>
  <c r="M309" i="1"/>
  <c r="L309" i="1"/>
  <c r="K309" i="1"/>
  <c r="J309" i="1" a="1"/>
  <c r="J309" i="1" s="1"/>
  <c r="M308" i="1"/>
  <c r="L308" i="1"/>
  <c r="K308" i="1"/>
  <c r="J308" i="1" a="1"/>
  <c r="J308" i="1" s="1"/>
  <c r="M307" i="1"/>
  <c r="L307" i="1"/>
  <c r="K307" i="1"/>
  <c r="J307" i="1" a="1"/>
  <c r="J307" i="1" s="1"/>
  <c r="M306" i="1"/>
  <c r="L306" i="1"/>
  <c r="K306" i="1"/>
  <c r="J306" i="1" a="1"/>
  <c r="J306" i="1"/>
  <c r="M305" i="1"/>
  <c r="L305" i="1"/>
  <c r="K305" i="1"/>
  <c r="J305" i="1" a="1"/>
  <c r="J305" i="1" s="1"/>
  <c r="M304" i="1"/>
  <c r="L304" i="1"/>
  <c r="K304" i="1"/>
  <c r="J304" i="1" a="1"/>
  <c r="J304" i="1"/>
  <c r="M303" i="1"/>
  <c r="L303" i="1"/>
  <c r="K303" i="1"/>
  <c r="J303" i="1" a="1"/>
  <c r="J303" i="1"/>
  <c r="M302" i="1"/>
  <c r="L302" i="1"/>
  <c r="K302" i="1"/>
  <c r="J302" i="1" a="1"/>
  <c r="J302" i="1" s="1"/>
  <c r="M301" i="1"/>
  <c r="L301" i="1"/>
  <c r="K301" i="1"/>
  <c r="J301" i="1" a="1"/>
  <c r="J301" i="1"/>
  <c r="M300" i="1"/>
  <c r="L300" i="1"/>
  <c r="K300" i="1"/>
  <c r="J300" i="1" a="1"/>
  <c r="J300" i="1" s="1"/>
  <c r="M299" i="1"/>
  <c r="L299" i="1"/>
  <c r="K299" i="1"/>
  <c r="J299" i="1" a="1"/>
  <c r="J299" i="1"/>
  <c r="M298" i="1"/>
  <c r="L298" i="1"/>
  <c r="K298" i="1"/>
  <c r="J298" i="1" a="1"/>
  <c r="J298" i="1"/>
  <c r="M297" i="1"/>
  <c r="L297" i="1"/>
  <c r="K297" i="1"/>
  <c r="J297" i="1" a="1"/>
  <c r="J297" i="1" s="1"/>
  <c r="M296" i="1"/>
  <c r="L296" i="1"/>
  <c r="K296" i="1"/>
  <c r="J296" i="1" a="1"/>
  <c r="J296" i="1"/>
  <c r="M295" i="1"/>
  <c r="L295" i="1"/>
  <c r="K295" i="1"/>
  <c r="J295" i="1" a="1"/>
  <c r="J295" i="1" s="1"/>
  <c r="M294" i="1"/>
  <c r="L294" i="1"/>
  <c r="K294" i="1"/>
  <c r="J294" i="1" a="1"/>
  <c r="J294" i="1" s="1"/>
  <c r="M293" i="1"/>
  <c r="L293" i="1"/>
  <c r="K293" i="1"/>
  <c r="J293" i="1" a="1"/>
  <c r="J293" i="1" s="1"/>
  <c r="M292" i="1"/>
  <c r="L292" i="1"/>
  <c r="K292" i="1"/>
  <c r="J292" i="1" a="1"/>
  <c r="J292" i="1" s="1"/>
  <c r="M291" i="1"/>
  <c r="L291" i="1"/>
  <c r="K291" i="1"/>
  <c r="J291" i="1" a="1"/>
  <c r="J291" i="1"/>
  <c r="M290" i="1"/>
  <c r="L290" i="1"/>
  <c r="K290" i="1"/>
  <c r="J290" i="1" a="1"/>
  <c r="J290" i="1" s="1"/>
  <c r="M289" i="1"/>
  <c r="L289" i="1"/>
  <c r="K289" i="1"/>
  <c r="J289" i="1" a="1"/>
  <c r="J289" i="1" s="1"/>
  <c r="M288" i="1"/>
  <c r="L288" i="1"/>
  <c r="K288" i="1"/>
  <c r="J288" i="1" a="1"/>
  <c r="J288" i="1" s="1"/>
  <c r="M287" i="1"/>
  <c r="L287" i="1"/>
  <c r="K287" i="1"/>
  <c r="J287" i="1" a="1"/>
  <c r="J287" i="1"/>
  <c r="M286" i="1"/>
  <c r="L286" i="1"/>
  <c r="K286" i="1"/>
  <c r="J286" i="1" a="1"/>
  <c r="J286" i="1"/>
  <c r="M285" i="1"/>
  <c r="L285" i="1"/>
  <c r="K285" i="1"/>
  <c r="J285" i="1" a="1"/>
  <c r="J285" i="1" s="1"/>
  <c r="M284" i="1"/>
  <c r="L284" i="1"/>
  <c r="K284" i="1"/>
  <c r="J284" i="1" a="1"/>
  <c r="J284" i="1" s="1"/>
  <c r="M283" i="1"/>
  <c r="L283" i="1"/>
  <c r="K283" i="1"/>
  <c r="J283" i="1" a="1"/>
  <c r="J283" i="1" s="1"/>
  <c r="M282" i="1"/>
  <c r="L282" i="1"/>
  <c r="K282" i="1"/>
  <c r="J282" i="1" a="1"/>
  <c r="J282" i="1"/>
  <c r="M281" i="1"/>
  <c r="L281" i="1"/>
  <c r="K281" i="1"/>
  <c r="J281" i="1" a="1"/>
  <c r="J281" i="1"/>
  <c r="M280" i="1"/>
  <c r="L280" i="1"/>
  <c r="K280" i="1"/>
  <c r="J280" i="1" a="1"/>
  <c r="J280" i="1" s="1"/>
  <c r="M279" i="1"/>
  <c r="L279" i="1"/>
  <c r="K279" i="1"/>
  <c r="J279" i="1" a="1"/>
  <c r="J279" i="1"/>
  <c r="M278" i="1"/>
  <c r="L278" i="1"/>
  <c r="K278" i="1"/>
  <c r="J278" i="1" a="1"/>
  <c r="J278" i="1" s="1"/>
  <c r="M277" i="1"/>
  <c r="L277" i="1"/>
  <c r="K277" i="1"/>
  <c r="J277" i="1" a="1"/>
  <c r="J277" i="1" s="1"/>
  <c r="M276" i="1"/>
  <c r="L276" i="1"/>
  <c r="K276" i="1"/>
  <c r="J276" i="1" a="1"/>
  <c r="J276" i="1" s="1"/>
  <c r="M275" i="1"/>
  <c r="L275" i="1"/>
  <c r="K275" i="1"/>
  <c r="J275" i="1" a="1"/>
  <c r="J275" i="1"/>
  <c r="M274" i="1"/>
  <c r="L274" i="1"/>
  <c r="K274" i="1"/>
  <c r="J274" i="1" a="1"/>
  <c r="J274" i="1" s="1"/>
  <c r="M273" i="1"/>
  <c r="L273" i="1"/>
  <c r="K273" i="1"/>
  <c r="J273" i="1" a="1"/>
  <c r="J273" i="1" s="1"/>
  <c r="M272" i="1"/>
  <c r="L272" i="1"/>
  <c r="K272" i="1"/>
  <c r="J272" i="1" a="1"/>
  <c r="J272" i="1" s="1"/>
  <c r="M271" i="1"/>
  <c r="L271" i="1"/>
  <c r="K271" i="1"/>
  <c r="J271" i="1" a="1"/>
  <c r="J271" i="1" s="1"/>
  <c r="M270" i="1"/>
  <c r="L270" i="1"/>
  <c r="K270" i="1"/>
  <c r="J270" i="1" a="1"/>
  <c r="J270" i="1" s="1"/>
  <c r="M269" i="1"/>
  <c r="L269" i="1"/>
  <c r="K269" i="1"/>
  <c r="J269" i="1" a="1"/>
  <c r="J269" i="1"/>
  <c r="M268" i="1"/>
  <c r="L268" i="1"/>
  <c r="K268" i="1"/>
  <c r="J268" i="1" a="1"/>
  <c r="J268" i="1" s="1"/>
  <c r="M267" i="1"/>
  <c r="L267" i="1"/>
  <c r="K267" i="1"/>
  <c r="J267" i="1" a="1"/>
  <c r="J267" i="1" s="1"/>
  <c r="M266" i="1"/>
  <c r="L266" i="1"/>
  <c r="K266" i="1"/>
  <c r="J266" i="1" a="1"/>
  <c r="J266" i="1"/>
  <c r="M265" i="1"/>
  <c r="L265" i="1"/>
  <c r="K265" i="1"/>
  <c r="J265" i="1" a="1"/>
  <c r="J265" i="1"/>
  <c r="M264" i="1"/>
  <c r="L264" i="1"/>
  <c r="K264" i="1"/>
  <c r="J264" i="1" a="1"/>
  <c r="J264" i="1" s="1"/>
  <c r="M263" i="1"/>
  <c r="L263" i="1"/>
  <c r="K263" i="1"/>
  <c r="J263" i="1" a="1"/>
  <c r="J263" i="1" s="1"/>
  <c r="M262" i="1"/>
  <c r="L262" i="1"/>
  <c r="K262" i="1"/>
  <c r="J262" i="1" a="1"/>
  <c r="J262" i="1"/>
  <c r="M261" i="1"/>
  <c r="L261" i="1"/>
  <c r="K261" i="1"/>
  <c r="J261" i="1" a="1"/>
  <c r="J261" i="1"/>
  <c r="M260" i="1"/>
  <c r="L260" i="1"/>
  <c r="K260" i="1"/>
  <c r="J260" i="1" a="1"/>
  <c r="J260" i="1" s="1"/>
  <c r="M259" i="1"/>
  <c r="L259" i="1"/>
  <c r="K259" i="1"/>
  <c r="J259" i="1" a="1"/>
  <c r="J259" i="1" s="1"/>
  <c r="M258" i="1"/>
  <c r="L258" i="1"/>
  <c r="K258" i="1"/>
  <c r="J258" i="1" a="1"/>
  <c r="J258" i="1"/>
  <c r="M257" i="1"/>
  <c r="L257" i="1"/>
  <c r="K257" i="1"/>
  <c r="J257" i="1" a="1"/>
  <c r="J257" i="1" s="1"/>
  <c r="M256" i="1"/>
  <c r="L256" i="1"/>
  <c r="K256" i="1"/>
  <c r="J256" i="1" a="1"/>
  <c r="J256" i="1" s="1"/>
  <c r="M255" i="1"/>
  <c r="L255" i="1"/>
  <c r="K255" i="1"/>
  <c r="J255" i="1" a="1"/>
  <c r="J255" i="1" s="1"/>
  <c r="M254" i="1"/>
  <c r="L254" i="1"/>
  <c r="K254" i="1"/>
  <c r="J254" i="1" a="1"/>
  <c r="J254" i="1" s="1"/>
  <c r="M253" i="1"/>
  <c r="L253" i="1"/>
  <c r="K253" i="1"/>
  <c r="J253" i="1" a="1"/>
  <c r="J253" i="1" s="1"/>
  <c r="M252" i="1"/>
  <c r="L252" i="1"/>
  <c r="K252" i="1"/>
  <c r="J252" i="1" a="1"/>
  <c r="J252" i="1" s="1"/>
  <c r="M251" i="1"/>
  <c r="L251" i="1"/>
  <c r="K251" i="1"/>
  <c r="J251" i="1" a="1"/>
  <c r="J251" i="1"/>
  <c r="M250" i="1"/>
  <c r="L250" i="1"/>
  <c r="K250" i="1"/>
  <c r="J250" i="1" a="1"/>
  <c r="J250" i="1" s="1"/>
  <c r="M249" i="1"/>
  <c r="L249" i="1"/>
  <c r="K249" i="1"/>
  <c r="J249" i="1" a="1"/>
  <c r="J249" i="1" s="1"/>
  <c r="M248" i="1"/>
  <c r="L248" i="1"/>
  <c r="K248" i="1"/>
  <c r="J248" i="1" a="1"/>
  <c r="J248" i="1" s="1"/>
  <c r="M247" i="1"/>
  <c r="L247" i="1"/>
  <c r="K247" i="1"/>
  <c r="J247" i="1" a="1"/>
  <c r="J247" i="1"/>
  <c r="M246" i="1"/>
  <c r="L246" i="1"/>
  <c r="K246" i="1"/>
  <c r="J246" i="1" a="1"/>
  <c r="J246" i="1" s="1"/>
  <c r="M245" i="1"/>
  <c r="L245" i="1"/>
  <c r="K245" i="1"/>
  <c r="J245" i="1" a="1"/>
  <c r="J245" i="1"/>
  <c r="M244" i="1"/>
  <c r="L244" i="1"/>
  <c r="K244" i="1"/>
  <c r="J244" i="1" a="1"/>
  <c r="J244" i="1" s="1"/>
  <c r="M243" i="1"/>
  <c r="L243" i="1"/>
  <c r="K243" i="1"/>
  <c r="J243" i="1" a="1"/>
  <c r="J243" i="1" s="1"/>
  <c r="M242" i="1"/>
  <c r="L242" i="1"/>
  <c r="K242" i="1"/>
  <c r="J242" i="1" a="1"/>
  <c r="J242" i="1"/>
  <c r="M241" i="1"/>
  <c r="L241" i="1"/>
  <c r="K241" i="1"/>
  <c r="J241" i="1" a="1"/>
  <c r="J241" i="1" s="1"/>
  <c r="M240" i="1"/>
  <c r="L240" i="1"/>
  <c r="K240" i="1"/>
  <c r="J240" i="1" a="1"/>
  <c r="J240" i="1" s="1"/>
  <c r="M239" i="1"/>
  <c r="L239" i="1"/>
  <c r="K239" i="1"/>
  <c r="J239" i="1" a="1"/>
  <c r="J239" i="1" s="1"/>
  <c r="M238" i="1"/>
  <c r="L238" i="1"/>
  <c r="K238" i="1"/>
  <c r="J238" i="1" a="1"/>
  <c r="J238" i="1"/>
  <c r="M237" i="1"/>
  <c r="L237" i="1"/>
  <c r="K237" i="1"/>
  <c r="J237" i="1" a="1"/>
  <c r="J237" i="1" s="1"/>
  <c r="M236" i="1"/>
  <c r="L236" i="1"/>
  <c r="K236" i="1"/>
  <c r="J236" i="1" a="1"/>
  <c r="J236" i="1" s="1"/>
  <c r="M235" i="1"/>
  <c r="L235" i="1"/>
  <c r="K235" i="1"/>
  <c r="J235" i="1" a="1"/>
  <c r="J235" i="1"/>
  <c r="M234" i="1"/>
  <c r="L234" i="1"/>
  <c r="K234" i="1"/>
  <c r="J234" i="1" a="1"/>
  <c r="J234" i="1" s="1"/>
  <c r="M233" i="1"/>
  <c r="L233" i="1"/>
  <c r="K233" i="1"/>
  <c r="J233" i="1" a="1"/>
  <c r="J233" i="1"/>
  <c r="M232" i="1"/>
  <c r="L232" i="1"/>
  <c r="K232" i="1"/>
  <c r="J232" i="1" a="1"/>
  <c r="J232" i="1" s="1"/>
  <c r="M231" i="1"/>
  <c r="L231" i="1"/>
  <c r="K231" i="1"/>
  <c r="J231" i="1" a="1"/>
  <c r="J231" i="1"/>
  <c r="M230" i="1"/>
  <c r="L230" i="1"/>
  <c r="K230" i="1"/>
  <c r="J230" i="1" a="1"/>
  <c r="J230" i="1" s="1"/>
  <c r="M229" i="1"/>
  <c r="L229" i="1"/>
  <c r="K229" i="1"/>
  <c r="J229" i="1" a="1"/>
  <c r="J229" i="1" s="1"/>
  <c r="M228" i="1"/>
  <c r="L228" i="1"/>
  <c r="K228" i="1"/>
  <c r="J228" i="1" a="1"/>
  <c r="J228" i="1" s="1"/>
  <c r="M227" i="1"/>
  <c r="L227" i="1"/>
  <c r="K227" i="1"/>
  <c r="J227" i="1" a="1"/>
  <c r="J227" i="1" s="1"/>
  <c r="M226" i="1"/>
  <c r="L226" i="1"/>
  <c r="K226" i="1"/>
  <c r="J226" i="1" a="1"/>
  <c r="J226" i="1" s="1"/>
  <c r="M225" i="1"/>
  <c r="L225" i="1"/>
  <c r="K225" i="1"/>
  <c r="J225" i="1" a="1"/>
  <c r="J225" i="1" s="1"/>
  <c r="M224" i="1"/>
  <c r="L224" i="1"/>
  <c r="K224" i="1"/>
  <c r="J224" i="1" a="1"/>
  <c r="J224" i="1" s="1"/>
  <c r="M223" i="1"/>
  <c r="L223" i="1"/>
  <c r="K223" i="1"/>
  <c r="J223" i="1" a="1"/>
  <c r="J223" i="1" s="1"/>
  <c r="M222" i="1"/>
  <c r="L222" i="1"/>
  <c r="K222" i="1"/>
  <c r="J222" i="1" a="1"/>
  <c r="J222" i="1" s="1"/>
  <c r="M221" i="1"/>
  <c r="L221" i="1"/>
  <c r="K221" i="1"/>
  <c r="J221" i="1" a="1"/>
  <c r="J221" i="1" s="1"/>
  <c r="M220" i="1"/>
  <c r="L220" i="1"/>
  <c r="K220" i="1"/>
  <c r="J220" i="1" a="1"/>
  <c r="J220" i="1" s="1"/>
  <c r="M219" i="1"/>
  <c r="L219" i="1"/>
  <c r="K219" i="1"/>
  <c r="J219" i="1" a="1"/>
  <c r="J219" i="1" s="1"/>
  <c r="M218" i="1"/>
  <c r="L218" i="1"/>
  <c r="K218" i="1"/>
  <c r="J218" i="1" a="1"/>
  <c r="J218" i="1" s="1"/>
  <c r="M217" i="1"/>
  <c r="L217" i="1"/>
  <c r="K217" i="1"/>
  <c r="J217" i="1" a="1"/>
  <c r="J217" i="1" s="1"/>
  <c r="M216" i="1"/>
  <c r="L216" i="1"/>
  <c r="K216" i="1"/>
  <c r="J216" i="1" a="1"/>
  <c r="J216" i="1" s="1"/>
  <c r="M215" i="1"/>
  <c r="L215" i="1"/>
  <c r="K215" i="1"/>
  <c r="J215" i="1" a="1"/>
  <c r="J215" i="1"/>
  <c r="M214" i="1"/>
  <c r="L214" i="1"/>
  <c r="K214" i="1"/>
  <c r="J214" i="1" a="1"/>
  <c r="J214" i="1" s="1"/>
  <c r="M213" i="1"/>
  <c r="L213" i="1"/>
  <c r="K213" i="1"/>
  <c r="J213" i="1" a="1"/>
  <c r="J213" i="1" s="1"/>
  <c r="M212" i="1"/>
  <c r="L212" i="1"/>
  <c r="K212" i="1"/>
  <c r="J212" i="1" a="1"/>
  <c r="J212" i="1" s="1"/>
  <c r="M211" i="1"/>
  <c r="L211" i="1"/>
  <c r="K211" i="1"/>
  <c r="J211" i="1" a="1"/>
  <c r="J211" i="1" s="1"/>
  <c r="M210" i="1"/>
  <c r="L210" i="1"/>
  <c r="K210" i="1"/>
  <c r="J210" i="1" a="1"/>
  <c r="J210" i="1" s="1"/>
  <c r="M209" i="1"/>
  <c r="L209" i="1"/>
  <c r="K209" i="1"/>
  <c r="J209" i="1" a="1"/>
  <c r="J209" i="1" s="1"/>
  <c r="M208" i="1"/>
  <c r="L208" i="1"/>
  <c r="K208" i="1"/>
  <c r="J208" i="1" a="1"/>
  <c r="J208" i="1"/>
  <c r="M207" i="1"/>
  <c r="L207" i="1"/>
  <c r="K207" i="1"/>
  <c r="J207" i="1" a="1"/>
  <c r="J207" i="1" s="1"/>
  <c r="M206" i="1"/>
  <c r="L206" i="1"/>
  <c r="K206" i="1"/>
  <c r="J206" i="1" a="1"/>
  <c r="J206" i="1" s="1"/>
  <c r="M205" i="1"/>
  <c r="L205" i="1"/>
  <c r="K205" i="1"/>
  <c r="J205" i="1" a="1"/>
  <c r="J205" i="1" s="1"/>
  <c r="M204" i="1"/>
  <c r="L204" i="1"/>
  <c r="K204" i="1"/>
  <c r="J204" i="1" a="1"/>
  <c r="J204" i="1" s="1"/>
  <c r="M203" i="1"/>
  <c r="L203" i="1"/>
  <c r="K203" i="1"/>
  <c r="J203" i="1" a="1"/>
  <c r="J203" i="1" s="1"/>
  <c r="M202" i="1"/>
  <c r="L202" i="1"/>
  <c r="K202" i="1"/>
  <c r="J202" i="1" a="1"/>
  <c r="J202" i="1" s="1"/>
  <c r="M201" i="1"/>
  <c r="L201" i="1"/>
  <c r="K201" i="1"/>
  <c r="J201" i="1" a="1"/>
  <c r="J201" i="1" s="1"/>
  <c r="M200" i="1"/>
  <c r="L200" i="1"/>
  <c r="K200" i="1"/>
  <c r="J200" i="1" a="1"/>
  <c r="J200" i="1" s="1"/>
  <c r="M199" i="1"/>
  <c r="L199" i="1"/>
  <c r="K199" i="1"/>
  <c r="J199" i="1" a="1"/>
  <c r="J199" i="1"/>
  <c r="M198" i="1"/>
  <c r="L198" i="1"/>
  <c r="K198" i="1"/>
  <c r="J198" i="1" a="1"/>
  <c r="J198" i="1" s="1"/>
  <c r="M197" i="1"/>
  <c r="L197" i="1"/>
  <c r="K197" i="1"/>
  <c r="J197" i="1" a="1"/>
  <c r="J197" i="1" s="1"/>
  <c r="M196" i="1"/>
  <c r="L196" i="1"/>
  <c r="K196" i="1"/>
  <c r="J196" i="1" a="1"/>
  <c r="J196" i="1" s="1"/>
  <c r="M195" i="1"/>
  <c r="L195" i="1"/>
  <c r="K195" i="1"/>
  <c r="J195" i="1" a="1"/>
  <c r="J195" i="1" s="1"/>
  <c r="M194" i="1"/>
  <c r="L194" i="1"/>
  <c r="K194" i="1"/>
  <c r="J194" i="1" a="1"/>
  <c r="J194" i="1" s="1"/>
  <c r="M193" i="1"/>
  <c r="L193" i="1"/>
  <c r="K193" i="1"/>
  <c r="J193" i="1" a="1"/>
  <c r="J193" i="1" s="1"/>
  <c r="M192" i="1"/>
  <c r="L192" i="1"/>
  <c r="K192" i="1"/>
  <c r="J192" i="1" a="1"/>
  <c r="J192" i="1"/>
  <c r="M191" i="1"/>
  <c r="L191" i="1"/>
  <c r="K191" i="1"/>
  <c r="J191" i="1" a="1"/>
  <c r="J191" i="1" s="1"/>
  <c r="M190" i="1"/>
  <c r="L190" i="1"/>
  <c r="K190" i="1"/>
  <c r="J190" i="1" a="1"/>
  <c r="J190" i="1" s="1"/>
  <c r="M189" i="1"/>
  <c r="L189" i="1"/>
  <c r="K189" i="1"/>
  <c r="J189" i="1" a="1"/>
  <c r="J189" i="1" s="1"/>
  <c r="M188" i="1"/>
  <c r="L188" i="1"/>
  <c r="K188" i="1"/>
  <c r="J188" i="1" a="1"/>
  <c r="J188" i="1" s="1"/>
  <c r="M187" i="1"/>
  <c r="L187" i="1"/>
  <c r="K187" i="1"/>
  <c r="J187" i="1" a="1"/>
  <c r="J187" i="1" s="1"/>
  <c r="M186" i="1"/>
  <c r="L186" i="1"/>
  <c r="K186" i="1"/>
  <c r="J186" i="1" a="1"/>
  <c r="J186" i="1" s="1"/>
  <c r="M185" i="1"/>
  <c r="L185" i="1"/>
  <c r="K185" i="1"/>
  <c r="J185" i="1" a="1"/>
  <c r="J185" i="1"/>
  <c r="M184" i="1"/>
  <c r="L184" i="1"/>
  <c r="K184" i="1"/>
  <c r="J184" i="1" a="1"/>
  <c r="J184" i="1" s="1"/>
  <c r="M183" i="1"/>
  <c r="L183" i="1"/>
  <c r="K183" i="1"/>
  <c r="J183" i="1" a="1"/>
  <c r="J183" i="1"/>
  <c r="M182" i="1"/>
  <c r="L182" i="1"/>
  <c r="K182" i="1"/>
  <c r="J182" i="1" a="1"/>
  <c r="J182" i="1" s="1"/>
  <c r="M181" i="1"/>
  <c r="L181" i="1"/>
  <c r="K181" i="1"/>
  <c r="J181" i="1" a="1"/>
  <c r="J181" i="1" s="1"/>
  <c r="M180" i="1"/>
  <c r="L180" i="1"/>
  <c r="K180" i="1"/>
  <c r="J180" i="1" a="1"/>
  <c r="J180" i="1" s="1"/>
  <c r="M179" i="1"/>
  <c r="L179" i="1"/>
  <c r="K179" i="1"/>
  <c r="J179" i="1" a="1"/>
  <c r="J179" i="1" s="1"/>
  <c r="M178" i="1"/>
  <c r="L178" i="1"/>
  <c r="K178" i="1"/>
  <c r="J178" i="1" a="1"/>
  <c r="J178" i="1" s="1"/>
  <c r="M177" i="1"/>
  <c r="L177" i="1"/>
  <c r="K177" i="1"/>
  <c r="J177" i="1" a="1"/>
  <c r="J177" i="1" s="1"/>
  <c r="M176" i="1"/>
  <c r="L176" i="1"/>
  <c r="K176" i="1"/>
  <c r="J176" i="1" a="1"/>
  <c r="J176" i="1" s="1"/>
  <c r="M175" i="1"/>
  <c r="L175" i="1"/>
  <c r="K175" i="1"/>
  <c r="J175" i="1" a="1"/>
  <c r="J175" i="1" s="1"/>
  <c r="M174" i="1"/>
  <c r="L174" i="1"/>
  <c r="K174" i="1"/>
  <c r="J174" i="1" a="1"/>
  <c r="J174" i="1"/>
  <c r="M173" i="1"/>
  <c r="L173" i="1"/>
  <c r="K173" i="1"/>
  <c r="J173" i="1" a="1"/>
  <c r="J173" i="1" s="1"/>
  <c r="M172" i="1"/>
  <c r="L172" i="1"/>
  <c r="K172" i="1"/>
  <c r="J172" i="1" a="1"/>
  <c r="J172" i="1" s="1"/>
  <c r="M171" i="1"/>
  <c r="L171" i="1"/>
  <c r="K171" i="1"/>
  <c r="J171" i="1" a="1"/>
  <c r="J171" i="1" s="1"/>
  <c r="M170" i="1"/>
  <c r="L170" i="1"/>
  <c r="K170" i="1"/>
  <c r="J170" i="1" a="1"/>
  <c r="J170" i="1" s="1"/>
  <c r="M169" i="1"/>
  <c r="L169" i="1"/>
  <c r="K169" i="1"/>
  <c r="J169" i="1" a="1"/>
  <c r="J169" i="1" s="1"/>
  <c r="M168" i="1"/>
  <c r="L168" i="1"/>
  <c r="K168" i="1"/>
  <c r="J168" i="1" a="1"/>
  <c r="J168" i="1" s="1"/>
  <c r="M167" i="1"/>
  <c r="L167" i="1"/>
  <c r="K167" i="1"/>
  <c r="J167" i="1" a="1"/>
  <c r="J167" i="1" s="1"/>
  <c r="M166" i="1"/>
  <c r="L166" i="1"/>
  <c r="K166" i="1"/>
  <c r="J166" i="1" a="1"/>
  <c r="J166" i="1" s="1"/>
  <c r="M165" i="1"/>
  <c r="L165" i="1"/>
  <c r="K165" i="1"/>
  <c r="J165" i="1" a="1"/>
  <c r="J165" i="1" s="1"/>
  <c r="M164" i="1"/>
  <c r="L164" i="1"/>
  <c r="K164" i="1"/>
  <c r="J164" i="1" a="1"/>
  <c r="J164" i="1"/>
  <c r="M163" i="1"/>
  <c r="L163" i="1"/>
  <c r="K163" i="1"/>
  <c r="J163" i="1" a="1"/>
  <c r="J163" i="1"/>
  <c r="M162" i="1"/>
  <c r="L162" i="1"/>
  <c r="K162" i="1"/>
  <c r="J162" i="1" a="1"/>
  <c r="J162" i="1" s="1"/>
  <c r="M161" i="1"/>
  <c r="L161" i="1"/>
  <c r="K161" i="1"/>
  <c r="J161" i="1" a="1"/>
  <c r="J161" i="1" s="1"/>
  <c r="M160" i="1"/>
  <c r="L160" i="1"/>
  <c r="K160" i="1"/>
  <c r="J160" i="1" a="1"/>
  <c r="J160" i="1"/>
  <c r="M159" i="1"/>
  <c r="L159" i="1"/>
  <c r="K159" i="1"/>
  <c r="J159" i="1" a="1"/>
  <c r="J159" i="1" s="1"/>
  <c r="M158" i="1"/>
  <c r="L158" i="1"/>
  <c r="K158" i="1"/>
  <c r="J158" i="1" a="1"/>
  <c r="J158" i="1" s="1"/>
  <c r="M157" i="1"/>
  <c r="L157" i="1"/>
  <c r="K157" i="1"/>
  <c r="J157" i="1" a="1"/>
  <c r="J157" i="1" s="1"/>
  <c r="M156" i="1"/>
  <c r="L156" i="1"/>
  <c r="K156" i="1"/>
  <c r="J156" i="1" a="1"/>
  <c r="J156" i="1" s="1"/>
  <c r="M155" i="1"/>
  <c r="L155" i="1"/>
  <c r="K155" i="1"/>
  <c r="J155" i="1" a="1"/>
  <c r="J155" i="1" s="1"/>
  <c r="M154" i="1"/>
  <c r="L154" i="1"/>
  <c r="K154" i="1"/>
  <c r="J154" i="1" a="1"/>
  <c r="J154" i="1"/>
  <c r="M153" i="1"/>
  <c r="L153" i="1"/>
  <c r="K153" i="1"/>
  <c r="J153" i="1" a="1"/>
  <c r="J153" i="1" s="1"/>
  <c r="M152" i="1"/>
  <c r="L152" i="1"/>
  <c r="K152" i="1"/>
  <c r="J152" i="1" a="1"/>
  <c r="J152" i="1" s="1"/>
  <c r="M151" i="1"/>
  <c r="L151" i="1"/>
  <c r="K151" i="1"/>
  <c r="J151" i="1" a="1"/>
  <c r="J151" i="1" s="1"/>
  <c r="M150" i="1"/>
  <c r="L150" i="1"/>
  <c r="K150" i="1"/>
  <c r="J150" i="1" a="1"/>
  <c r="J150" i="1" s="1"/>
  <c r="M149" i="1"/>
  <c r="L149" i="1"/>
  <c r="K149" i="1"/>
  <c r="J149" i="1" a="1"/>
  <c r="J149" i="1"/>
  <c r="M148" i="1"/>
  <c r="L148" i="1"/>
  <c r="K148" i="1"/>
  <c r="J148" i="1" a="1"/>
  <c r="J148" i="1" s="1"/>
  <c r="M147" i="1"/>
  <c r="L147" i="1"/>
  <c r="K147" i="1"/>
  <c r="J147" i="1" a="1"/>
  <c r="J147" i="1"/>
  <c r="M146" i="1"/>
  <c r="L146" i="1"/>
  <c r="K146" i="1"/>
  <c r="J146" i="1" a="1"/>
  <c r="J146" i="1"/>
  <c r="M145" i="1"/>
  <c r="L145" i="1"/>
  <c r="K145" i="1"/>
  <c r="J145" i="1" a="1"/>
  <c r="J145" i="1" s="1"/>
  <c r="M144" i="1"/>
  <c r="L144" i="1"/>
  <c r="K144" i="1"/>
  <c r="J144" i="1" a="1"/>
  <c r="J144" i="1" s="1"/>
  <c r="M143" i="1"/>
  <c r="L143" i="1"/>
  <c r="K143" i="1"/>
  <c r="J143" i="1" a="1"/>
  <c r="J143" i="1" s="1"/>
  <c r="M142" i="1"/>
  <c r="L142" i="1"/>
  <c r="K142" i="1"/>
  <c r="J142" i="1" a="1"/>
  <c r="J142" i="1" s="1"/>
  <c r="M141" i="1"/>
  <c r="L141" i="1"/>
  <c r="K141" i="1"/>
  <c r="J141" i="1" a="1"/>
  <c r="J141" i="1"/>
  <c r="M140" i="1"/>
  <c r="L140" i="1"/>
  <c r="K140" i="1"/>
  <c r="J140" i="1" a="1"/>
  <c r="J140" i="1"/>
  <c r="M139" i="1"/>
  <c r="L139" i="1"/>
  <c r="K139" i="1"/>
  <c r="J139" i="1" a="1"/>
  <c r="J139" i="1"/>
  <c r="M138" i="1"/>
  <c r="L138" i="1"/>
  <c r="K138" i="1"/>
  <c r="J138" i="1" a="1"/>
  <c r="J138" i="1" s="1"/>
  <c r="M137" i="1"/>
  <c r="L137" i="1"/>
  <c r="K137" i="1"/>
  <c r="J137" i="1" a="1"/>
  <c r="J137" i="1" s="1"/>
  <c r="M136" i="1"/>
  <c r="L136" i="1"/>
  <c r="K136" i="1"/>
  <c r="J136" i="1" a="1"/>
  <c r="J136" i="1"/>
  <c r="M135" i="1"/>
  <c r="L135" i="1"/>
  <c r="K135" i="1"/>
  <c r="J135" i="1" a="1"/>
  <c r="J135" i="1" s="1"/>
  <c r="M134" i="1"/>
  <c r="L134" i="1"/>
  <c r="K134" i="1"/>
  <c r="J134" i="1" a="1"/>
  <c r="J134" i="1" s="1"/>
  <c r="M133" i="1"/>
  <c r="L133" i="1"/>
  <c r="K133" i="1"/>
  <c r="J133" i="1" a="1"/>
  <c r="J133" i="1" s="1"/>
  <c r="M132" i="1"/>
  <c r="L132" i="1"/>
  <c r="K132" i="1"/>
  <c r="J132" i="1" a="1"/>
  <c r="J132" i="1" s="1"/>
  <c r="M131" i="1"/>
  <c r="L131" i="1"/>
  <c r="K131" i="1"/>
  <c r="J131" i="1" a="1"/>
  <c r="J131" i="1" s="1"/>
  <c r="M130" i="1"/>
  <c r="L130" i="1"/>
  <c r="K130" i="1"/>
  <c r="J130" i="1" a="1"/>
  <c r="J130" i="1" s="1"/>
  <c r="M129" i="1"/>
  <c r="L129" i="1"/>
  <c r="K129" i="1"/>
  <c r="J129" i="1" a="1"/>
  <c r="J129" i="1" s="1"/>
  <c r="M128" i="1"/>
  <c r="L128" i="1"/>
  <c r="K128" i="1"/>
  <c r="J128" i="1" a="1"/>
  <c r="J128" i="1" s="1"/>
  <c r="M127" i="1"/>
  <c r="L127" i="1"/>
  <c r="K127" i="1"/>
  <c r="J127" i="1" a="1"/>
  <c r="J127" i="1" s="1"/>
  <c r="M126" i="1"/>
  <c r="L126" i="1"/>
  <c r="K126" i="1"/>
  <c r="J126" i="1" a="1"/>
  <c r="J126" i="1" s="1"/>
  <c r="M125" i="1"/>
  <c r="L125" i="1"/>
  <c r="K125" i="1"/>
  <c r="J125" i="1" a="1"/>
  <c r="J125" i="1" s="1"/>
  <c r="M124" i="1"/>
  <c r="L124" i="1"/>
  <c r="K124" i="1"/>
  <c r="J124" i="1" a="1"/>
  <c r="J124" i="1"/>
  <c r="M123" i="1"/>
  <c r="L123" i="1"/>
  <c r="K123" i="1"/>
  <c r="J123" i="1" a="1"/>
  <c r="J123" i="1" s="1"/>
  <c r="M122" i="1"/>
  <c r="L122" i="1"/>
  <c r="K122" i="1"/>
  <c r="J122" i="1" a="1"/>
  <c r="J122" i="1" s="1"/>
  <c r="M121" i="1"/>
  <c r="L121" i="1"/>
  <c r="K121" i="1"/>
  <c r="J121" i="1" a="1"/>
  <c r="J121" i="1" s="1"/>
  <c r="M120" i="1"/>
  <c r="L120" i="1"/>
  <c r="K120" i="1"/>
  <c r="J120" i="1" a="1"/>
  <c r="J120" i="1"/>
  <c r="M119" i="1"/>
  <c r="L119" i="1"/>
  <c r="K119" i="1"/>
  <c r="J119" i="1" a="1"/>
  <c r="J119" i="1" s="1"/>
  <c r="M118" i="1"/>
  <c r="L118" i="1"/>
  <c r="K118" i="1"/>
  <c r="J118" i="1" a="1"/>
  <c r="J118" i="1" s="1"/>
  <c r="M117" i="1"/>
  <c r="L117" i="1"/>
  <c r="K117" i="1"/>
  <c r="J117" i="1" a="1"/>
  <c r="J117" i="1" s="1"/>
  <c r="M116" i="1"/>
  <c r="L116" i="1"/>
  <c r="K116" i="1"/>
  <c r="J116" i="1" a="1"/>
  <c r="J116" i="1" s="1"/>
  <c r="M115" i="1"/>
  <c r="L115" i="1"/>
  <c r="K115" i="1"/>
  <c r="J115" i="1" a="1"/>
  <c r="J115" i="1" s="1"/>
  <c r="M114" i="1"/>
  <c r="L114" i="1"/>
  <c r="K114" i="1"/>
  <c r="J114" i="1" a="1"/>
  <c r="J114" i="1" s="1"/>
  <c r="M113" i="1"/>
  <c r="L113" i="1"/>
  <c r="K113" i="1"/>
  <c r="J113" i="1" a="1"/>
  <c r="J113" i="1" s="1"/>
  <c r="M112" i="1"/>
  <c r="L112" i="1"/>
  <c r="K112" i="1"/>
  <c r="J112" i="1" a="1"/>
  <c r="J112" i="1"/>
  <c r="M111" i="1"/>
  <c r="L111" i="1"/>
  <c r="K111" i="1"/>
  <c r="J111" i="1" a="1"/>
  <c r="J111" i="1" s="1"/>
  <c r="M110" i="1"/>
  <c r="L110" i="1"/>
  <c r="K110" i="1"/>
  <c r="J110" i="1" a="1"/>
  <c r="J110" i="1" s="1"/>
  <c r="M109" i="1"/>
  <c r="L109" i="1"/>
  <c r="K109" i="1"/>
  <c r="J109" i="1" a="1"/>
  <c r="J109" i="1" s="1"/>
  <c r="M108" i="1"/>
  <c r="L108" i="1"/>
  <c r="K108" i="1"/>
  <c r="J108" i="1" a="1"/>
  <c r="J108" i="1" s="1"/>
  <c r="M107" i="1"/>
  <c r="L107" i="1"/>
  <c r="K107" i="1"/>
  <c r="J107" i="1" a="1"/>
  <c r="J107" i="1" s="1"/>
  <c r="M106" i="1"/>
  <c r="L106" i="1"/>
  <c r="K106" i="1"/>
  <c r="J106" i="1" a="1"/>
  <c r="J106" i="1" s="1"/>
  <c r="M105" i="1"/>
  <c r="L105" i="1"/>
  <c r="K105" i="1"/>
  <c r="J105" i="1" a="1"/>
  <c r="J105" i="1" s="1"/>
  <c r="M104" i="1"/>
  <c r="L104" i="1"/>
  <c r="K104" i="1"/>
  <c r="J104" i="1" a="1"/>
  <c r="J104" i="1" s="1"/>
  <c r="M103" i="1"/>
  <c r="L103" i="1"/>
  <c r="K103" i="1"/>
  <c r="J103" i="1" a="1"/>
  <c r="J103" i="1" s="1"/>
  <c r="M102" i="1"/>
  <c r="L102" i="1"/>
  <c r="K102" i="1"/>
  <c r="J102" i="1" a="1"/>
  <c r="J102" i="1" s="1"/>
  <c r="M101" i="1"/>
  <c r="L101" i="1"/>
  <c r="K101" i="1"/>
  <c r="J101" i="1" a="1"/>
  <c r="J101" i="1"/>
  <c r="M100" i="1"/>
  <c r="L100" i="1"/>
  <c r="K100" i="1"/>
  <c r="J100" i="1" a="1"/>
  <c r="J100" i="1" s="1"/>
  <c r="M99" i="1"/>
  <c r="L99" i="1"/>
  <c r="K99" i="1"/>
  <c r="J99" i="1" a="1"/>
  <c r="J99" i="1"/>
  <c r="M98" i="1"/>
  <c r="L98" i="1"/>
  <c r="K98" i="1"/>
  <c r="J98" i="1" a="1"/>
  <c r="J98" i="1" s="1"/>
  <c r="M97" i="1"/>
  <c r="L97" i="1"/>
  <c r="K97" i="1"/>
  <c r="J97" i="1" a="1"/>
  <c r="J97" i="1" s="1"/>
  <c r="M96" i="1"/>
  <c r="L96" i="1"/>
  <c r="K96" i="1"/>
  <c r="J96" i="1" a="1"/>
  <c r="J96" i="1" s="1"/>
  <c r="M95" i="1"/>
  <c r="L95" i="1"/>
  <c r="K95" i="1"/>
  <c r="J95" i="1" a="1"/>
  <c r="J95" i="1" s="1"/>
  <c r="M94" i="1"/>
  <c r="L94" i="1"/>
  <c r="K94" i="1"/>
  <c r="J94" i="1" a="1"/>
  <c r="J94" i="1" s="1"/>
  <c r="M93" i="1"/>
  <c r="L93" i="1"/>
  <c r="K93" i="1"/>
  <c r="J93" i="1" a="1"/>
  <c r="J93" i="1" s="1"/>
  <c r="M92" i="1"/>
  <c r="L92" i="1"/>
  <c r="K92" i="1"/>
  <c r="J92" i="1" a="1"/>
  <c r="J92" i="1" s="1"/>
  <c r="M91" i="1"/>
  <c r="L91" i="1"/>
  <c r="K91" i="1"/>
  <c r="J91" i="1" a="1"/>
  <c r="J91" i="1" s="1"/>
  <c r="M90" i="1"/>
  <c r="L90" i="1"/>
  <c r="K90" i="1"/>
  <c r="J90" i="1" a="1"/>
  <c r="J90" i="1" s="1"/>
  <c r="M89" i="1"/>
  <c r="L89" i="1"/>
  <c r="K89" i="1"/>
  <c r="J89" i="1" a="1"/>
  <c r="J89" i="1"/>
  <c r="M88" i="1"/>
  <c r="L88" i="1"/>
  <c r="K88" i="1"/>
  <c r="J88" i="1" a="1"/>
  <c r="J88" i="1" s="1"/>
  <c r="M87" i="1"/>
  <c r="L87" i="1"/>
  <c r="K87" i="1"/>
  <c r="J87" i="1" a="1"/>
  <c r="J87" i="1" s="1"/>
  <c r="M86" i="1"/>
  <c r="L86" i="1"/>
  <c r="K86" i="1"/>
  <c r="J86" i="1" a="1"/>
  <c r="J86" i="1" s="1"/>
  <c r="M85" i="1"/>
  <c r="L85" i="1"/>
  <c r="K85" i="1"/>
  <c r="J85" i="1" a="1"/>
  <c r="J85" i="1" s="1"/>
  <c r="M84" i="1"/>
  <c r="L84" i="1"/>
  <c r="K84" i="1"/>
  <c r="J84" i="1" a="1"/>
  <c r="J84" i="1" s="1"/>
  <c r="M83" i="1"/>
  <c r="L83" i="1"/>
  <c r="K83" i="1"/>
  <c r="J83" i="1" a="1"/>
  <c r="J83" i="1"/>
  <c r="M82" i="1"/>
  <c r="L82" i="1"/>
  <c r="K82" i="1"/>
  <c r="J82" i="1" a="1"/>
  <c r="J82" i="1" s="1"/>
  <c r="M81" i="1"/>
  <c r="L81" i="1"/>
  <c r="K81" i="1"/>
  <c r="J81" i="1" a="1"/>
  <c r="J81" i="1" s="1"/>
  <c r="M80" i="1"/>
  <c r="L80" i="1"/>
  <c r="K80" i="1"/>
  <c r="J80" i="1" a="1"/>
  <c r="J80" i="1" s="1"/>
  <c r="M79" i="1"/>
  <c r="L79" i="1"/>
  <c r="K79" i="1"/>
  <c r="J79" i="1" a="1"/>
  <c r="J79" i="1" s="1"/>
  <c r="M78" i="1"/>
  <c r="L78" i="1"/>
  <c r="K78" i="1"/>
  <c r="J78" i="1" a="1"/>
  <c r="J78" i="1" s="1"/>
  <c r="M77" i="1"/>
  <c r="L77" i="1"/>
  <c r="K77" i="1"/>
  <c r="J77" i="1" a="1"/>
  <c r="J77" i="1" s="1"/>
  <c r="M76" i="1"/>
  <c r="L76" i="1"/>
  <c r="K76" i="1"/>
  <c r="J76" i="1" a="1"/>
  <c r="J76" i="1" s="1"/>
  <c r="M75" i="1"/>
  <c r="L75" i="1"/>
  <c r="K75" i="1"/>
  <c r="J75" i="1" a="1"/>
  <c r="J75" i="1" s="1"/>
  <c r="M74" i="1"/>
  <c r="L74" i="1"/>
  <c r="K74" i="1"/>
  <c r="J74" i="1" a="1"/>
  <c r="J74" i="1"/>
  <c r="M73" i="1"/>
  <c r="L73" i="1"/>
  <c r="K73" i="1"/>
  <c r="J73" i="1" a="1"/>
  <c r="J73" i="1" s="1"/>
  <c r="M72" i="1"/>
  <c r="L72" i="1"/>
  <c r="K72" i="1"/>
  <c r="J72" i="1" a="1"/>
  <c r="J72" i="1" s="1"/>
  <c r="M71" i="1"/>
  <c r="L71" i="1"/>
  <c r="K71" i="1"/>
  <c r="J71" i="1" a="1"/>
  <c r="J71" i="1" s="1"/>
  <c r="M70" i="1"/>
  <c r="L70" i="1"/>
  <c r="K70" i="1"/>
  <c r="J70" i="1" a="1"/>
  <c r="J70" i="1" s="1"/>
  <c r="M69" i="1"/>
  <c r="L69" i="1"/>
  <c r="K69" i="1"/>
  <c r="J69" i="1" a="1"/>
  <c r="J69" i="1" s="1"/>
  <c r="M68" i="1"/>
  <c r="L68" i="1"/>
  <c r="K68" i="1"/>
  <c r="J68" i="1" a="1"/>
  <c r="J68" i="1" s="1"/>
  <c r="M67" i="1"/>
  <c r="L67" i="1"/>
  <c r="K67" i="1"/>
  <c r="J67" i="1" a="1"/>
  <c r="J67" i="1" s="1"/>
  <c r="M66" i="1"/>
  <c r="L66" i="1"/>
  <c r="K66" i="1"/>
  <c r="J66" i="1" a="1"/>
  <c r="J66" i="1" s="1"/>
  <c r="M65" i="1"/>
  <c r="L65" i="1"/>
  <c r="K65" i="1"/>
  <c r="J65" i="1" a="1"/>
  <c r="J65" i="1" s="1"/>
  <c r="M64" i="1"/>
  <c r="L64" i="1"/>
  <c r="K64" i="1"/>
  <c r="J64" i="1" a="1"/>
  <c r="J64" i="1"/>
  <c r="M63" i="1"/>
  <c r="L63" i="1"/>
  <c r="K63" i="1"/>
  <c r="J63" i="1" a="1"/>
  <c r="J63" i="1"/>
  <c r="M62" i="1"/>
  <c r="L62" i="1"/>
  <c r="K62" i="1"/>
  <c r="J62" i="1" a="1"/>
  <c r="J62" i="1" s="1"/>
  <c r="M61" i="1"/>
  <c r="L61" i="1"/>
  <c r="K61" i="1"/>
  <c r="J61" i="1" a="1"/>
  <c r="J61" i="1" s="1"/>
  <c r="M60" i="1"/>
  <c r="L60" i="1"/>
  <c r="K60" i="1"/>
  <c r="J60" i="1" a="1"/>
  <c r="J60" i="1" s="1"/>
  <c r="M59" i="1"/>
  <c r="L59" i="1"/>
  <c r="K59" i="1"/>
  <c r="J59" i="1" a="1"/>
  <c r="J59" i="1" s="1"/>
  <c r="M58" i="1"/>
  <c r="L58" i="1"/>
  <c r="K58" i="1"/>
  <c r="J58" i="1" a="1"/>
  <c r="J58" i="1" s="1"/>
  <c r="M57" i="1"/>
  <c r="L57" i="1"/>
  <c r="K57" i="1"/>
  <c r="J57" i="1" a="1"/>
  <c r="J57" i="1"/>
  <c r="M56" i="1"/>
  <c r="L56" i="1"/>
  <c r="K56" i="1"/>
  <c r="J56" i="1" a="1"/>
  <c r="J56" i="1" s="1"/>
  <c r="M55" i="1"/>
  <c r="L55" i="1"/>
  <c r="K55" i="1"/>
  <c r="J55" i="1" a="1"/>
  <c r="J55" i="1" s="1"/>
  <c r="M54" i="1"/>
  <c r="L54" i="1"/>
  <c r="K54" i="1"/>
  <c r="J54" i="1" a="1"/>
  <c r="J54" i="1" s="1"/>
  <c r="M53" i="1"/>
  <c r="L53" i="1"/>
  <c r="K53" i="1"/>
  <c r="J53" i="1" a="1"/>
  <c r="J53" i="1" s="1"/>
  <c r="M52" i="1"/>
  <c r="L52" i="1"/>
  <c r="K52" i="1"/>
  <c r="J52" i="1" a="1"/>
  <c r="J52" i="1" s="1"/>
  <c r="M51" i="1"/>
  <c r="L51" i="1"/>
  <c r="K51" i="1"/>
  <c r="J51" i="1" a="1"/>
  <c r="J51" i="1" s="1"/>
  <c r="M50" i="1"/>
  <c r="L50" i="1"/>
  <c r="K50" i="1"/>
  <c r="J50" i="1" a="1"/>
  <c r="J50" i="1" s="1"/>
  <c r="M49" i="1"/>
  <c r="L49" i="1"/>
  <c r="K49" i="1"/>
  <c r="J49" i="1" a="1"/>
  <c r="J49" i="1" s="1"/>
  <c r="M48" i="1"/>
  <c r="L48" i="1"/>
  <c r="K48" i="1"/>
  <c r="J48" i="1" a="1"/>
  <c r="J48" i="1" s="1"/>
  <c r="M47" i="1"/>
  <c r="L47" i="1"/>
  <c r="K47" i="1"/>
  <c r="J47" i="1" a="1"/>
  <c r="J47" i="1" s="1"/>
  <c r="M46" i="1"/>
  <c r="L46" i="1"/>
  <c r="K46" i="1"/>
  <c r="J46" i="1" a="1"/>
  <c r="J46" i="1"/>
  <c r="M45" i="1"/>
  <c r="L45" i="1"/>
  <c r="K45" i="1"/>
  <c r="J45" i="1" a="1"/>
  <c r="J45" i="1" s="1"/>
  <c r="M44" i="1"/>
  <c r="L44" i="1"/>
  <c r="K44" i="1"/>
  <c r="J44" i="1" a="1"/>
  <c r="J44" i="1" s="1"/>
  <c r="M43" i="1"/>
  <c r="L43" i="1"/>
  <c r="K43" i="1"/>
  <c r="J43" i="1" a="1"/>
  <c r="J43" i="1" s="1"/>
  <c r="M42" i="1"/>
  <c r="L42" i="1"/>
  <c r="K42" i="1"/>
  <c r="J42" i="1" a="1"/>
  <c r="J42" i="1" s="1"/>
  <c r="M41" i="1"/>
  <c r="L41" i="1"/>
  <c r="K41" i="1"/>
  <c r="J41" i="1" a="1"/>
  <c r="J41" i="1" s="1"/>
  <c r="M40" i="1"/>
  <c r="L40" i="1"/>
  <c r="K40" i="1"/>
  <c r="J40" i="1" a="1"/>
  <c r="J40" i="1"/>
  <c r="M39" i="1"/>
  <c r="L39" i="1"/>
  <c r="K39" i="1"/>
  <c r="J39" i="1" a="1"/>
  <c r="J39" i="1" s="1"/>
  <c r="M38" i="1"/>
  <c r="L38" i="1"/>
  <c r="K38" i="1"/>
  <c r="J38" i="1" a="1"/>
  <c r="J38" i="1" s="1"/>
  <c r="M37" i="1"/>
  <c r="L37" i="1"/>
  <c r="K37" i="1"/>
  <c r="J37" i="1" a="1"/>
  <c r="J37" i="1" s="1"/>
  <c r="M36" i="1"/>
  <c r="L36" i="1"/>
  <c r="K36" i="1"/>
  <c r="J36" i="1" a="1"/>
  <c r="J36" i="1" s="1"/>
  <c r="M35" i="1"/>
  <c r="L35" i="1"/>
  <c r="K35" i="1"/>
  <c r="J35" i="1" a="1"/>
  <c r="J35" i="1" s="1"/>
  <c r="M34" i="1"/>
  <c r="L34" i="1"/>
  <c r="K34" i="1"/>
  <c r="J34" i="1" a="1"/>
  <c r="J34" i="1" s="1"/>
  <c r="M33" i="1"/>
  <c r="L33" i="1"/>
  <c r="K33" i="1"/>
  <c r="J33" i="1" a="1"/>
  <c r="J33" i="1" s="1"/>
  <c r="M32" i="1"/>
  <c r="L32" i="1"/>
  <c r="K32" i="1"/>
  <c r="J32" i="1" a="1"/>
  <c r="J32" i="1"/>
  <c r="M31" i="1"/>
  <c r="L31" i="1"/>
  <c r="K31" i="1"/>
  <c r="J31" i="1" a="1"/>
  <c r="J31" i="1" s="1"/>
  <c r="M30" i="1"/>
  <c r="L30" i="1"/>
  <c r="K30" i="1"/>
  <c r="J30" i="1" a="1"/>
  <c r="J30" i="1" s="1"/>
  <c r="W29" i="1"/>
  <c r="V29" i="1"/>
  <c r="U29" i="1"/>
  <c r="M29" i="1"/>
  <c r="L29" i="1"/>
  <c r="K29" i="1"/>
  <c r="J29" i="1" a="1"/>
  <c r="J29" i="1" s="1"/>
  <c r="Q32" i="1" s="1"/>
  <c r="W28" i="1"/>
  <c r="X28" i="1" s="1"/>
  <c r="V28" i="1"/>
  <c r="U28" i="1"/>
  <c r="M28" i="1"/>
  <c r="L28" i="1"/>
  <c r="K28" i="1"/>
  <c r="J28" i="1" a="1"/>
  <c r="J28" i="1" s="1"/>
  <c r="W27" i="1"/>
  <c r="V27" i="1"/>
  <c r="U27" i="1"/>
  <c r="M27" i="1"/>
  <c r="L27" i="1"/>
  <c r="K27" i="1"/>
  <c r="J27" i="1" a="1"/>
  <c r="J27" i="1" s="1"/>
  <c r="W26" i="1"/>
  <c r="V26" i="1"/>
  <c r="U26" i="1"/>
  <c r="M26" i="1"/>
  <c r="L26" i="1"/>
  <c r="K26" i="1"/>
  <c r="J26" i="1" a="1"/>
  <c r="J26" i="1" s="1"/>
  <c r="W25" i="1"/>
  <c r="V25" i="1"/>
  <c r="U25" i="1"/>
  <c r="M25" i="1"/>
  <c r="L25" i="1"/>
  <c r="K25" i="1"/>
  <c r="J25" i="1" a="1"/>
  <c r="J25" i="1" s="1"/>
  <c r="W24" i="1"/>
  <c r="V24" i="1"/>
  <c r="U24" i="1"/>
  <c r="M24" i="1"/>
  <c r="L24" i="1"/>
  <c r="K24" i="1"/>
  <c r="J24" i="1" a="1"/>
  <c r="J24" i="1" s="1"/>
  <c r="W23" i="1"/>
  <c r="V23" i="1"/>
  <c r="U23" i="1"/>
  <c r="M23" i="1"/>
  <c r="L23" i="1"/>
  <c r="K23" i="1"/>
  <c r="J23" i="1" a="1"/>
  <c r="J23" i="1" s="1"/>
  <c r="W22" i="1"/>
  <c r="V22" i="1"/>
  <c r="U22" i="1"/>
  <c r="X22" i="1" s="1"/>
  <c r="M22" i="1"/>
  <c r="L22" i="1"/>
  <c r="K22" i="1"/>
  <c r="J22" i="1" a="1"/>
  <c r="J22" i="1" s="1"/>
  <c r="W21" i="1"/>
  <c r="V21" i="1"/>
  <c r="U21" i="1"/>
  <c r="M21" i="1"/>
  <c r="L21" i="1"/>
  <c r="K21" i="1"/>
  <c r="J21" i="1" a="1"/>
  <c r="J21" i="1" s="1"/>
  <c r="X20" i="1"/>
  <c r="W20" i="1"/>
  <c r="V20" i="1"/>
  <c r="U20" i="1"/>
  <c r="M20" i="1"/>
  <c r="L20" i="1"/>
  <c r="K20" i="1"/>
  <c r="J20" i="1" a="1"/>
  <c r="J20" i="1" s="1"/>
  <c r="W19" i="1"/>
  <c r="V19" i="1"/>
  <c r="U19" i="1"/>
  <c r="M19" i="1"/>
  <c r="L19" i="1"/>
  <c r="K19" i="1"/>
  <c r="J19" i="1" a="1"/>
  <c r="J19" i="1" s="1"/>
  <c r="W18" i="1"/>
  <c r="V18" i="1"/>
  <c r="U18" i="1"/>
  <c r="M18" i="1"/>
  <c r="L18" i="1"/>
  <c r="K18" i="1"/>
  <c r="J18" i="1" a="1"/>
  <c r="J18" i="1" s="1"/>
  <c r="W17" i="1"/>
  <c r="V17" i="1"/>
  <c r="U17" i="1"/>
  <c r="X17" i="1" s="1"/>
  <c r="M17" i="1"/>
  <c r="L17" i="1"/>
  <c r="K17" i="1"/>
  <c r="J17" i="1" a="1"/>
  <c r="J17" i="1" s="1"/>
  <c r="W16" i="1"/>
  <c r="V16" i="1"/>
  <c r="U16" i="1"/>
  <c r="X16" i="1" s="1"/>
  <c r="M16" i="1"/>
  <c r="L16" i="1"/>
  <c r="K16" i="1"/>
  <c r="J16" i="1" a="1"/>
  <c r="J16" i="1" s="1"/>
  <c r="W15" i="1"/>
  <c r="V15" i="1"/>
  <c r="U15" i="1"/>
  <c r="M15" i="1"/>
  <c r="L15" i="1"/>
  <c r="K15" i="1"/>
  <c r="J15" i="1" a="1"/>
  <c r="J15" i="1" s="1"/>
  <c r="W14" i="1"/>
  <c r="V14" i="1"/>
  <c r="U14" i="1"/>
  <c r="M14" i="1"/>
  <c r="L14" i="1"/>
  <c r="K14" i="1"/>
  <c r="J14" i="1" a="1"/>
  <c r="J14" i="1" s="1"/>
  <c r="W13" i="1"/>
  <c r="V13" i="1"/>
  <c r="U13" i="1"/>
  <c r="M13" i="1"/>
  <c r="L13" i="1"/>
  <c r="K13" i="1"/>
  <c r="J13" i="1" a="1"/>
  <c r="J13" i="1" s="1"/>
  <c r="W12" i="1"/>
  <c r="V12" i="1"/>
  <c r="U12" i="1"/>
  <c r="X12" i="1" s="1"/>
  <c r="M12" i="1"/>
  <c r="L12" i="1"/>
  <c r="K12" i="1"/>
  <c r="J12" i="1" a="1"/>
  <c r="J12" i="1" s="1"/>
  <c r="W11" i="1"/>
  <c r="V11" i="1"/>
  <c r="U11" i="1"/>
  <c r="M11" i="1"/>
  <c r="L11" i="1"/>
  <c r="K11" i="1"/>
  <c r="J11" i="1" a="1"/>
  <c r="J11" i="1" s="1"/>
  <c r="W10" i="1"/>
  <c r="V10" i="1"/>
  <c r="X10" i="1" s="1"/>
  <c r="U10" i="1"/>
  <c r="M10" i="1"/>
  <c r="L10" i="1"/>
  <c r="K10" i="1"/>
  <c r="J10" i="1" a="1"/>
  <c r="J10" i="1" s="1"/>
  <c r="W9" i="1"/>
  <c r="V9" i="1"/>
  <c r="U9" i="1"/>
  <c r="M9" i="1"/>
  <c r="L9" i="1"/>
  <c r="K9" i="1"/>
  <c r="J9" i="1" a="1"/>
  <c r="J9" i="1" s="1"/>
  <c r="W8" i="1"/>
  <c r="V8" i="1"/>
  <c r="U8" i="1"/>
  <c r="M8" i="1"/>
  <c r="L8" i="1"/>
  <c r="K8" i="1"/>
  <c r="J8" i="1" a="1"/>
  <c r="J8" i="1" s="1"/>
  <c r="W7" i="1"/>
  <c r="V7" i="1"/>
  <c r="U7" i="1"/>
  <c r="M7" i="1"/>
  <c r="L7" i="1"/>
  <c r="K7" i="1"/>
  <c r="J7" i="1" a="1"/>
  <c r="J7" i="1" s="1"/>
  <c r="W6" i="1"/>
  <c r="V6" i="1"/>
  <c r="U6" i="1"/>
  <c r="M6" i="1"/>
  <c r="L6" i="1"/>
  <c r="K6" i="1"/>
  <c r="J6" i="1" a="1"/>
  <c r="J6" i="1" s="1"/>
  <c r="AC5" i="1"/>
  <c r="W5" i="1"/>
  <c r="V5" i="1"/>
  <c r="U5" i="1"/>
  <c r="M5" i="1"/>
  <c r="L5" i="1"/>
  <c r="K5" i="1"/>
  <c r="J5" i="1" a="1"/>
  <c r="J5" i="1" s="1"/>
  <c r="BA4" i="1" a="1"/>
  <c r="BA4" i="1" s="1"/>
  <c r="AY253" i="1"/>
  <c r="AY251" i="1"/>
  <c r="AY249" i="1"/>
  <c r="AY248" i="1"/>
  <c r="AY247" i="1"/>
  <c r="AY246" i="1"/>
  <c r="AY245" i="1"/>
  <c r="AY243" i="1"/>
  <c r="AY242" i="1"/>
  <c r="AY240" i="1"/>
  <c r="AY239" i="1"/>
  <c r="AY238" i="1"/>
  <c r="AY237" i="1"/>
  <c r="AY235" i="1"/>
  <c r="AY234" i="1"/>
  <c r="AY233" i="1"/>
  <c r="AY231" i="1"/>
  <c r="AY230" i="1"/>
  <c r="AY229" i="1"/>
  <c r="AY227" i="1"/>
  <c r="AY226" i="1"/>
  <c r="AY225" i="1"/>
  <c r="AY224" i="1"/>
  <c r="AY222" i="1"/>
  <c r="AY221" i="1"/>
  <c r="AY219" i="1"/>
  <c r="AY218" i="1"/>
  <c r="AY217" i="1"/>
  <c r="AY216" i="1"/>
  <c r="AY215" i="1"/>
  <c r="AY213" i="1"/>
  <c r="AY211" i="1"/>
  <c r="AY210" i="1"/>
  <c r="AY209" i="1"/>
  <c r="AY208" i="1"/>
  <c r="AY207" i="1"/>
  <c r="AY206" i="1"/>
  <c r="AY203" i="1"/>
  <c r="AY202" i="1"/>
  <c r="AY201" i="1"/>
  <c r="AY200" i="1"/>
  <c r="AY199" i="1"/>
  <c r="AY198" i="1"/>
  <c r="AY197" i="1"/>
  <c r="AY194" i="1"/>
  <c r="AY193" i="1"/>
  <c r="AY192" i="1"/>
  <c r="AY191" i="1"/>
  <c r="AY190" i="1"/>
  <c r="AY189" i="1"/>
  <c r="AY187" i="1"/>
  <c r="AY185" i="1"/>
  <c r="AY184" i="1"/>
  <c r="AY183" i="1"/>
  <c r="AY182" i="1"/>
  <c r="AY181" i="1"/>
  <c r="AY179" i="1"/>
  <c r="AY178" i="1"/>
  <c r="AY176" i="1"/>
  <c r="AY175" i="1"/>
  <c r="AY174" i="1"/>
  <c r="AY173" i="1"/>
  <c r="AY171" i="1"/>
  <c r="AY170" i="1"/>
  <c r="AY169" i="1"/>
  <c r="AY167" i="1"/>
  <c r="AY166" i="1"/>
  <c r="AY165" i="1"/>
  <c r="AY163" i="1"/>
  <c r="AY162" i="1"/>
  <c r="AY161" i="1"/>
  <c r="AY160" i="1"/>
  <c r="AY158" i="1"/>
  <c r="AY157" i="1"/>
  <c r="AY155" i="1"/>
  <c r="AY154" i="1"/>
  <c r="AY153" i="1"/>
  <c r="AY152" i="1"/>
  <c r="AY151" i="1"/>
  <c r="AY149" i="1"/>
  <c r="AY147" i="1"/>
  <c r="AY146" i="1"/>
  <c r="AY145" i="1"/>
  <c r="AY144" i="1"/>
  <c r="AY143" i="1"/>
  <c r="AY142" i="1"/>
  <c r="AY139" i="1"/>
  <c r="AY138" i="1"/>
  <c r="AY137" i="1"/>
  <c r="AY136" i="1"/>
  <c r="AY135" i="1"/>
  <c r="AY134" i="1"/>
  <c r="AY133" i="1"/>
  <c r="AY130" i="1"/>
  <c r="AY129" i="1"/>
  <c r="AY128" i="1"/>
  <c r="AY127" i="1"/>
  <c r="AY126" i="1"/>
  <c r="AY125" i="1"/>
  <c r="AY123" i="1"/>
  <c r="AY121" i="1"/>
  <c r="AY120" i="1"/>
  <c r="AY119" i="1"/>
  <c r="AY118" i="1"/>
  <c r="AY117" i="1"/>
  <c r="AY115" i="1"/>
  <c r="AY114" i="1"/>
  <c r="AY112" i="1"/>
  <c r="AY111" i="1"/>
  <c r="AY110" i="1"/>
  <c r="AY109" i="1"/>
  <c r="AY107" i="1"/>
  <c r="AY106" i="1"/>
  <c r="AY105" i="1"/>
  <c r="AY103" i="1"/>
  <c r="AY102" i="1"/>
  <c r="AY101" i="1"/>
  <c r="AY99" i="1"/>
  <c r="AY98" i="1"/>
  <c r="AY97" i="1"/>
  <c r="AY96" i="1"/>
  <c r="AY94" i="1"/>
  <c r="AY93" i="1"/>
  <c r="AY91" i="1"/>
  <c r="AY90" i="1"/>
  <c r="AY89" i="1"/>
  <c r="AY88" i="1"/>
  <c r="AY87" i="1"/>
  <c r="AY85" i="1"/>
  <c r="AY83" i="1"/>
  <c r="AY82" i="1"/>
  <c r="AY81" i="1"/>
  <c r="AY80" i="1"/>
  <c r="AY79" i="1"/>
  <c r="AY78" i="1"/>
  <c r="AY75" i="1"/>
  <c r="AY74" i="1"/>
  <c r="AY73" i="1"/>
  <c r="AY72" i="1"/>
  <c r="AY71" i="1"/>
  <c r="AY70" i="1"/>
  <c r="AY69" i="1"/>
  <c r="AY66" i="1"/>
  <c r="AY65" i="1"/>
  <c r="AY64" i="1"/>
  <c r="AY63" i="1"/>
  <c r="AY62" i="1"/>
  <c r="AY61" i="1"/>
  <c r="AY59" i="1"/>
  <c r="AY57" i="1"/>
  <c r="AY56" i="1"/>
  <c r="AY55" i="1"/>
  <c r="AY54" i="1"/>
  <c r="AY53" i="1"/>
  <c r="AY51" i="1"/>
  <c r="AY50" i="1"/>
  <c r="AY48" i="1"/>
  <c r="AY47" i="1"/>
  <c r="AY46" i="1"/>
  <c r="AY45" i="1"/>
  <c r="AY43" i="1"/>
  <c r="AY42" i="1"/>
  <c r="AY41" i="1"/>
  <c r="AY39" i="1"/>
  <c r="AY38" i="1"/>
  <c r="AY37" i="1"/>
  <c r="AY35" i="1"/>
  <c r="AY34" i="1"/>
  <c r="AY33" i="1"/>
  <c r="AY32" i="1"/>
  <c r="AY30" i="1"/>
  <c r="AY29" i="1"/>
  <c r="AZ29" i="1" s="1" a="1"/>
  <c r="AZ29" i="1" s="1"/>
  <c r="AY27" i="1"/>
  <c r="AY26" i="1"/>
  <c r="AY25" i="1"/>
  <c r="AY24" i="1"/>
  <c r="AY23" i="1"/>
  <c r="AY21" i="1"/>
  <c r="AY19" i="1"/>
  <c r="AY18" i="1"/>
  <c r="AY17" i="1"/>
  <c r="AY16" i="1"/>
  <c r="AY15" i="1"/>
  <c r="AZ15" i="1" s="1" a="1"/>
  <c r="AZ15" i="1" s="1"/>
  <c r="AY14" i="1"/>
  <c r="BA14" i="1" s="1" a="1"/>
  <c r="BA14" i="1" s="1"/>
  <c r="AY11" i="1"/>
  <c r="AY10" i="1"/>
  <c r="AY9" i="1"/>
  <c r="AY8" i="1"/>
  <c r="AY7" i="1"/>
  <c r="AY6" i="1"/>
  <c r="AY5" i="1"/>
  <c r="AY4" i="1" a="1"/>
  <c r="AY252" i="1" s="1"/>
  <c r="AY4" i="1"/>
  <c r="AU186" i="1"/>
  <c r="AU176" i="1"/>
  <c r="AU149" i="1"/>
  <c r="AU146" i="1"/>
  <c r="AU120" i="1"/>
  <c r="AU118" i="1"/>
  <c r="AU95" i="1"/>
  <c r="AU90" i="1"/>
  <c r="AU66" i="1"/>
  <c r="AU62" i="1"/>
  <c r="AU38" i="1"/>
  <c r="AU35" i="1"/>
  <c r="AU11" i="1"/>
  <c r="AU8" i="1"/>
  <c r="AU4" i="1" a="1"/>
  <c r="AU202" i="1" s="1"/>
  <c r="AT187" i="1"/>
  <c r="AT177" i="1"/>
  <c r="AT175" i="1"/>
  <c r="AT148" i="1"/>
  <c r="AT145" i="1"/>
  <c r="AT143" i="1"/>
  <c r="AT116" i="1"/>
  <c r="AT113" i="1"/>
  <c r="AT111" i="1"/>
  <c r="AT84" i="1"/>
  <c r="AT81" i="1"/>
  <c r="AT79" i="1"/>
  <c r="AT59" i="1"/>
  <c r="AT52" i="1"/>
  <c r="AT49" i="1"/>
  <c r="AT33" i="1"/>
  <c r="AT30" i="1"/>
  <c r="AT28" i="1"/>
  <c r="AT12" i="1"/>
  <c r="AT9" i="1"/>
  <c r="AT6" i="1"/>
  <c r="AT4" i="1" a="1"/>
  <c r="AT190" i="1" s="1"/>
  <c r="AS146" i="1"/>
  <c r="AS130" i="1"/>
  <c r="AS4" i="1" a="1"/>
  <c r="AR192" i="1"/>
  <c r="AR184" i="1"/>
  <c r="AR161" i="1"/>
  <c r="AR160" i="1"/>
  <c r="AR141" i="1"/>
  <c r="AR139" i="1"/>
  <c r="AR119" i="1"/>
  <c r="AR118" i="1"/>
  <c r="AR97" i="1"/>
  <c r="AR96" i="1"/>
  <c r="AR77" i="1"/>
  <c r="AR75" i="1"/>
  <c r="AR55" i="1"/>
  <c r="AR54" i="1"/>
  <c r="AR33" i="1"/>
  <c r="AR32" i="1"/>
  <c r="AR13" i="1"/>
  <c r="AR11" i="1"/>
  <c r="AR4" i="1" a="1"/>
  <c r="AR203" i="1" s="1"/>
  <c r="AH4" i="1" a="1"/>
  <c r="AH247" i="1" s="1"/>
  <c r="W4" i="1"/>
  <c r="V4" i="1"/>
  <c r="U4" i="1"/>
  <c r="R4" i="1"/>
  <c r="Q4" i="1"/>
  <c r="M4" i="1"/>
  <c r="L4" i="1"/>
  <c r="K4" i="1"/>
  <c r="J4" i="1" a="1"/>
  <c r="J4" i="1" s="1"/>
  <c r="W3" i="1"/>
  <c r="V3" i="1"/>
  <c r="U3" i="1"/>
  <c r="X3" i="1" s="1"/>
  <c r="M3" i="1"/>
  <c r="L3" i="1"/>
  <c r="K3" i="1"/>
  <c r="J3" i="1" a="1"/>
  <c r="J3" i="1" s="1"/>
  <c r="M2" i="1"/>
  <c r="L2" i="1"/>
  <c r="K2" i="1"/>
  <c r="J2" i="1" a="1"/>
  <c r="J2" i="1"/>
  <c r="AR14" i="1" l="1"/>
  <c r="AR35" i="1"/>
  <c r="AR56" i="1"/>
  <c r="AR78" i="1"/>
  <c r="AR99" i="1"/>
  <c r="AR120" i="1"/>
  <c r="AR142" i="1"/>
  <c r="AR163" i="1"/>
  <c r="AR193" i="1"/>
  <c r="AR17" i="1"/>
  <c r="AR39" i="1"/>
  <c r="AR61" i="1"/>
  <c r="AR81" i="1"/>
  <c r="AR103" i="1"/>
  <c r="AR125" i="1"/>
  <c r="AR145" i="1"/>
  <c r="AR171" i="1"/>
  <c r="AR195" i="1"/>
  <c r="AR22" i="1"/>
  <c r="AR43" i="1"/>
  <c r="AR64" i="1"/>
  <c r="AR86" i="1"/>
  <c r="AR107" i="1"/>
  <c r="AR128" i="1"/>
  <c r="AR150" i="1"/>
  <c r="AR173" i="1"/>
  <c r="AS189" i="1"/>
  <c r="AS95" i="1"/>
  <c r="AS78" i="1"/>
  <c r="AS197" i="1"/>
  <c r="AS61" i="1"/>
  <c r="AS181" i="1"/>
  <c r="AS45" i="1"/>
  <c r="AS164" i="1"/>
  <c r="AS26" i="1"/>
  <c r="AR196" i="1"/>
  <c r="AR201" i="1"/>
  <c r="AR191" i="1"/>
  <c r="AR181" i="1"/>
  <c r="AR169" i="1"/>
  <c r="AR159" i="1"/>
  <c r="AR149" i="1"/>
  <c r="AR137" i="1"/>
  <c r="AR127" i="1"/>
  <c r="AR117" i="1"/>
  <c r="AR105" i="1"/>
  <c r="AR95" i="1"/>
  <c r="AR85" i="1"/>
  <c r="AR73" i="1"/>
  <c r="AR63" i="1"/>
  <c r="AR53" i="1"/>
  <c r="AR41" i="1"/>
  <c r="AR31" i="1"/>
  <c r="AR21" i="1"/>
  <c r="AR9" i="1"/>
  <c r="AR200" i="1"/>
  <c r="AR190" i="1"/>
  <c r="AR179" i="1"/>
  <c r="AR168" i="1"/>
  <c r="AR158" i="1"/>
  <c r="AR147" i="1"/>
  <c r="AR136" i="1"/>
  <c r="AR126" i="1"/>
  <c r="AR115" i="1"/>
  <c r="AR104" i="1"/>
  <c r="AR94" i="1"/>
  <c r="AR83" i="1"/>
  <c r="AR72" i="1"/>
  <c r="AR62" i="1"/>
  <c r="AR51" i="1"/>
  <c r="AR40" i="1"/>
  <c r="AR30" i="1"/>
  <c r="AR19" i="1"/>
  <c r="AR8" i="1"/>
  <c r="AR199" i="1"/>
  <c r="AR189" i="1"/>
  <c r="AR177" i="1"/>
  <c r="AR167" i="1"/>
  <c r="AR198" i="1"/>
  <c r="AR187" i="1"/>
  <c r="AR176" i="1"/>
  <c r="AR166" i="1"/>
  <c r="AR155" i="1"/>
  <c r="AR144" i="1"/>
  <c r="AR134" i="1"/>
  <c r="AR123" i="1"/>
  <c r="AR112" i="1"/>
  <c r="AR102" i="1"/>
  <c r="AR91" i="1"/>
  <c r="AR80" i="1"/>
  <c r="AR70" i="1"/>
  <c r="AR59" i="1"/>
  <c r="AR48" i="1"/>
  <c r="AR38" i="1"/>
  <c r="AR27" i="1"/>
  <c r="AR16" i="1"/>
  <c r="AR6" i="1"/>
  <c r="AR197" i="1"/>
  <c r="AR185" i="1"/>
  <c r="AR175" i="1"/>
  <c r="AR165" i="1"/>
  <c r="AR153" i="1"/>
  <c r="AR143" i="1"/>
  <c r="AR133" i="1"/>
  <c r="AR121" i="1"/>
  <c r="AR111" i="1"/>
  <c r="AR101" i="1"/>
  <c r="AR89" i="1"/>
  <c r="AR79" i="1"/>
  <c r="AR57" i="1"/>
  <c r="AR47" i="1"/>
  <c r="AR37" i="1"/>
  <c r="AR25" i="1"/>
  <c r="AR15" i="1"/>
  <c r="AR5" i="1"/>
  <c r="AR69" i="1"/>
  <c r="AR24" i="1"/>
  <c r="AR46" i="1"/>
  <c r="AR67" i="1"/>
  <c r="AR88" i="1"/>
  <c r="AR110" i="1"/>
  <c r="AR131" i="1"/>
  <c r="AR152" i="1"/>
  <c r="AR182" i="1"/>
  <c r="AS10" i="1"/>
  <c r="AR4" i="1"/>
  <c r="AR23" i="1"/>
  <c r="AR45" i="1"/>
  <c r="AR65" i="1"/>
  <c r="AR87" i="1"/>
  <c r="AR109" i="1"/>
  <c r="AR129" i="1"/>
  <c r="AR151" i="1"/>
  <c r="AR174" i="1"/>
  <c r="Q9" i="1"/>
  <c r="Q40" i="1"/>
  <c r="R34" i="1"/>
  <c r="AR7" i="1"/>
  <c r="AR29" i="1"/>
  <c r="AR49" i="1"/>
  <c r="AR71" i="1"/>
  <c r="AR93" i="1"/>
  <c r="AR113" i="1"/>
  <c r="AR135" i="1"/>
  <c r="AR157" i="1"/>
  <c r="AR183" i="1"/>
  <c r="AS111" i="1"/>
  <c r="AZ16" i="1" a="1"/>
  <c r="AZ16" i="1" s="1"/>
  <c r="R8" i="1"/>
  <c r="R12" i="1"/>
  <c r="R11" i="1"/>
  <c r="R10" i="1"/>
  <c r="AC3" i="1"/>
  <c r="AC7" i="1"/>
  <c r="X11" i="1"/>
  <c r="AC12" i="1"/>
  <c r="BA7" i="1" a="1"/>
  <c r="BA7" i="1" s="1"/>
  <c r="Q35" i="1"/>
  <c r="AC11" i="1"/>
  <c r="BA6" i="1" a="1"/>
  <c r="BA6" i="1" s="1"/>
  <c r="Q22" i="1"/>
  <c r="AC8" i="1"/>
  <c r="AT15" i="1"/>
  <c r="AT37" i="1"/>
  <c r="AT60" i="1"/>
  <c r="AT91" i="1"/>
  <c r="AT123" i="1"/>
  <c r="AT156" i="1"/>
  <c r="AT188" i="1"/>
  <c r="AU14" i="1"/>
  <c r="AU42" i="1"/>
  <c r="AU70" i="1"/>
  <c r="AU96" i="1"/>
  <c r="AU124" i="1"/>
  <c r="AU157" i="1"/>
  <c r="AU187" i="1"/>
  <c r="AD3" i="1"/>
  <c r="AT17" i="1"/>
  <c r="AT38" i="1"/>
  <c r="AT62" i="1"/>
  <c r="AT92" i="1"/>
  <c r="AT126" i="1"/>
  <c r="AT158" i="1"/>
  <c r="AU16" i="1"/>
  <c r="AU45" i="1"/>
  <c r="AU71" i="1"/>
  <c r="AU99" i="1"/>
  <c r="AU132" i="1"/>
  <c r="AU159" i="1"/>
  <c r="AU191" i="1"/>
  <c r="BA8" i="1" a="1"/>
  <c r="BA8" i="1" s="1"/>
  <c r="AC9" i="1"/>
  <c r="X18" i="1"/>
  <c r="Q30" i="1"/>
  <c r="AT180" i="1"/>
  <c r="AT155" i="1"/>
  <c r="AT124" i="1"/>
  <c r="AT94" i="1"/>
  <c r="AT22" i="1"/>
  <c r="AT44" i="1"/>
  <c r="AT70" i="1"/>
  <c r="AT102" i="1"/>
  <c r="AT134" i="1"/>
  <c r="AT166" i="1"/>
  <c r="AT199" i="1"/>
  <c r="AU23" i="1"/>
  <c r="AU51" i="1"/>
  <c r="AU82" i="1"/>
  <c r="AU108" i="1"/>
  <c r="AU135" i="1"/>
  <c r="AU166" i="1"/>
  <c r="AU198" i="1"/>
  <c r="Q16" i="1"/>
  <c r="AZ21" i="1" a="1"/>
  <c r="AZ21" i="1" s="1"/>
  <c r="AZ22" i="1" a="1"/>
  <c r="AZ22" i="1" s="1"/>
  <c r="Q28" i="1"/>
  <c r="AT20" i="1"/>
  <c r="AT41" i="1"/>
  <c r="AT69" i="1"/>
  <c r="AT101" i="1"/>
  <c r="AT133" i="1"/>
  <c r="AT165" i="1"/>
  <c r="AT198" i="1"/>
  <c r="AU22" i="1"/>
  <c r="AU47" i="1"/>
  <c r="AU75" i="1"/>
  <c r="AU107" i="1"/>
  <c r="AU133" i="1"/>
  <c r="AU164" i="1"/>
  <c r="AU195" i="1"/>
  <c r="Q3" i="1"/>
  <c r="AC4" i="1"/>
  <c r="R3" i="1"/>
  <c r="AD4" i="1"/>
  <c r="AT5" i="1"/>
  <c r="AT27" i="1"/>
  <c r="AT47" i="1"/>
  <c r="AT73" i="1"/>
  <c r="AT105" i="1"/>
  <c r="AT137" i="1"/>
  <c r="AT169" i="1"/>
  <c r="AT203" i="1"/>
  <c r="AU26" i="1"/>
  <c r="AU59" i="1"/>
  <c r="AU84" i="1"/>
  <c r="AU111" i="1"/>
  <c r="AU139" i="1"/>
  <c r="AU173" i="1"/>
  <c r="BA10" i="1" a="1"/>
  <c r="BA10" i="1" s="1"/>
  <c r="AZ32" i="1" a="1"/>
  <c r="AZ32" i="1" s="1"/>
  <c r="X5" i="1"/>
  <c r="R6" i="1"/>
  <c r="R7" i="1"/>
  <c r="AC38" i="1"/>
  <c r="AU188" i="1"/>
  <c r="AU180" i="1"/>
  <c r="AU152" i="1"/>
  <c r="AU126" i="1"/>
  <c r="AU102" i="1"/>
  <c r="AU78" i="1"/>
  <c r="AU53" i="1"/>
  <c r="AU29" i="1"/>
  <c r="AU5" i="1"/>
  <c r="AU34" i="1"/>
  <c r="AU60" i="1"/>
  <c r="AU87" i="1"/>
  <c r="AU115" i="1"/>
  <c r="AU143" i="1"/>
  <c r="AU174" i="1"/>
  <c r="BA23" i="1" a="1"/>
  <c r="BA23" i="1" s="1"/>
  <c r="Q8" i="1"/>
  <c r="Q13" i="1"/>
  <c r="X14" i="1"/>
  <c r="AZ24" i="1" a="1"/>
  <c r="AZ24" i="1" s="1"/>
  <c r="AZ4" i="1" a="1"/>
  <c r="AZ4" i="1" s="1"/>
  <c r="X6" i="1"/>
  <c r="X21" i="1"/>
  <c r="X25" i="1"/>
  <c r="BA95" i="1" a="1"/>
  <c r="BA95" i="1" s="1"/>
  <c r="F11" i="3"/>
  <c r="F24" i="3"/>
  <c r="F36" i="3"/>
  <c r="F44" i="3"/>
  <c r="F137" i="3"/>
  <c r="F150" i="3"/>
  <c r="F153" i="3"/>
  <c r="E183" i="3"/>
  <c r="E194" i="3"/>
  <c r="F220" i="3"/>
  <c r="F225" i="3"/>
  <c r="E250" i="3"/>
  <c r="AZ131" i="1" a="1"/>
  <c r="AZ131" i="1" s="1"/>
  <c r="F13" i="3"/>
  <c r="F56" i="3"/>
  <c r="F77" i="3"/>
  <c r="F93" i="3"/>
  <c r="F105" i="3"/>
  <c r="F164" i="3"/>
  <c r="E169" i="3"/>
  <c r="F174" i="3"/>
  <c r="F180" i="3"/>
  <c r="F185" i="3"/>
  <c r="F187" i="3"/>
  <c r="F207" i="3"/>
  <c r="E209" i="3"/>
  <c r="F216" i="3"/>
  <c r="F248" i="3"/>
  <c r="BA21" i="1" a="1"/>
  <c r="BA21" i="1" s="1"/>
  <c r="E5" i="3"/>
  <c r="F14" i="3"/>
  <c r="F21" i="3"/>
  <c r="F25" i="3"/>
  <c r="E29" i="3"/>
  <c r="F37" i="3"/>
  <c r="F45" i="3"/>
  <c r="E58" i="3"/>
  <c r="F61" i="3"/>
  <c r="F100" i="3"/>
  <c r="F154" i="3"/>
  <c r="E167" i="3"/>
  <c r="E202" i="3"/>
  <c r="F233" i="3"/>
  <c r="E246" i="3"/>
  <c r="F42" i="3"/>
  <c r="E52" i="3"/>
  <c r="F54" i="3"/>
  <c r="F66" i="3"/>
  <c r="F68" i="3"/>
  <c r="F75" i="3"/>
  <c r="F82" i="3"/>
  <c r="F84" i="3"/>
  <c r="F91" i="3"/>
  <c r="E98" i="3"/>
  <c r="F124" i="3"/>
  <c r="F131" i="3"/>
  <c r="F133" i="3"/>
  <c r="F135" i="3"/>
  <c r="E151" i="3"/>
  <c r="E181" i="3"/>
  <c r="F188" i="3"/>
  <c r="F193" i="3"/>
  <c r="F195" i="3"/>
  <c r="E217" i="3"/>
  <c r="F224" i="3"/>
  <c r="E226" i="3"/>
  <c r="E249" i="3"/>
  <c r="F73" i="3"/>
  <c r="F89" i="3"/>
  <c r="E117" i="3"/>
  <c r="E122" i="3"/>
  <c r="E161" i="3"/>
  <c r="F166" i="3"/>
  <c r="F172" i="3"/>
  <c r="E177" i="3"/>
  <c r="F184" i="3"/>
  <c r="E186" i="3"/>
  <c r="F191" i="3"/>
  <c r="F198" i="3"/>
  <c r="E205" i="3"/>
  <c r="F212" i="3"/>
  <c r="F217" i="3"/>
  <c r="F219" i="3"/>
  <c r="E232" i="3"/>
  <c r="F238" i="3"/>
  <c r="X8" i="1"/>
  <c r="X27" i="1"/>
  <c r="E4" i="3"/>
  <c r="E23" i="3"/>
  <c r="F33" i="3"/>
  <c r="E40" i="3"/>
  <c r="E50" i="3"/>
  <c r="F53" i="3"/>
  <c r="F71" i="3"/>
  <c r="E81" i="3"/>
  <c r="F87" i="3"/>
  <c r="F97" i="3"/>
  <c r="F108" i="3"/>
  <c r="E113" i="3"/>
  <c r="E120" i="3"/>
  <c r="F127" i="3"/>
  <c r="F129" i="3"/>
  <c r="E138" i="3"/>
  <c r="F141" i="3"/>
  <c r="F147" i="3"/>
  <c r="F157" i="3"/>
  <c r="F159" i="3"/>
  <c r="F161" i="3"/>
  <c r="F168" i="3"/>
  <c r="F173" i="3"/>
  <c r="F175" i="3"/>
  <c r="F177" i="3"/>
  <c r="F179" i="3"/>
  <c r="F199" i="3"/>
  <c r="E201" i="3"/>
  <c r="F208" i="3"/>
  <c r="F222" i="3"/>
  <c r="E229" i="3"/>
  <c r="F234" i="3"/>
  <c r="F247" i="3"/>
  <c r="AY13" i="1"/>
  <c r="AZ13" i="1" s="1" a="1"/>
  <c r="AZ13" i="1" s="1"/>
  <c r="AY22" i="1"/>
  <c r="AY31" i="1"/>
  <c r="AY40" i="1"/>
  <c r="AY49" i="1"/>
  <c r="AY58" i="1"/>
  <c r="AY67" i="1"/>
  <c r="AY77" i="1"/>
  <c r="AY86" i="1"/>
  <c r="BB86" i="1" s="1" a="1"/>
  <c r="BB86" i="1" s="1"/>
  <c r="AY95" i="1"/>
  <c r="AY104" i="1"/>
  <c r="AY113" i="1"/>
  <c r="AY122" i="1"/>
  <c r="AY131" i="1"/>
  <c r="AY141" i="1"/>
  <c r="AY150" i="1"/>
  <c r="AY159" i="1"/>
  <c r="BB159" i="1" s="1" a="1"/>
  <c r="BB159" i="1" s="1"/>
  <c r="AY168" i="1"/>
  <c r="AY177" i="1"/>
  <c r="AY186" i="1"/>
  <c r="AY195" i="1"/>
  <c r="AY205" i="1"/>
  <c r="AY214" i="1"/>
  <c r="AY223" i="1"/>
  <c r="AY232" i="1"/>
  <c r="AY241" i="1"/>
  <c r="AY250" i="1"/>
  <c r="X26" i="1"/>
  <c r="E6" i="3"/>
  <c r="E28" i="3"/>
  <c r="F41" i="3"/>
  <c r="E49" i="3"/>
  <c r="F65" i="3"/>
  <c r="F72" i="3"/>
  <c r="E76" i="3"/>
  <c r="F78" i="3"/>
  <c r="E92" i="3"/>
  <c r="F94" i="3"/>
  <c r="F99" i="3"/>
  <c r="E101" i="3"/>
  <c r="F109" i="3"/>
  <c r="F114" i="3"/>
  <c r="F121" i="3"/>
  <c r="F130" i="3"/>
  <c r="E132" i="3"/>
  <c r="E134" i="3"/>
  <c r="F136" i="3"/>
  <c r="P3" i="1"/>
  <c r="S3" i="1" s="1"/>
  <c r="P4" i="1"/>
  <c r="S4" i="1" s="1"/>
  <c r="AH6" i="1"/>
  <c r="AH16" i="1"/>
  <c r="AH27" i="1"/>
  <c r="AH38" i="1"/>
  <c r="AH48" i="1"/>
  <c r="AH59" i="1"/>
  <c r="AH70" i="1"/>
  <c r="AH80" i="1"/>
  <c r="AH91" i="1"/>
  <c r="AH102" i="1"/>
  <c r="AH112" i="1"/>
  <c r="AH123" i="1"/>
  <c r="AH134" i="1"/>
  <c r="AH144" i="1"/>
  <c r="AH155" i="1"/>
  <c r="AH166" i="1"/>
  <c r="AH178" i="1"/>
  <c r="AH194" i="1"/>
  <c r="AH207" i="1"/>
  <c r="AH220" i="1"/>
  <c r="AH236" i="1"/>
  <c r="AH251" i="1"/>
  <c r="BB168" i="1" a="1"/>
  <c r="BB168" i="1" s="1"/>
  <c r="BB160" i="1" a="1"/>
  <c r="BB160" i="1" s="1"/>
  <c r="BB152" i="1" a="1"/>
  <c r="BB152" i="1" s="1"/>
  <c r="BB144" i="1" a="1"/>
  <c r="BB144" i="1" s="1"/>
  <c r="BB157" i="1" a="1"/>
  <c r="BB157" i="1" s="1"/>
  <c r="BB153" i="1" a="1"/>
  <c r="BB153" i="1" s="1"/>
  <c r="BB158" i="1" a="1"/>
  <c r="BB158" i="1" s="1"/>
  <c r="BB150" i="1" a="1"/>
  <c r="BB150" i="1" s="1"/>
  <c r="BB149" i="1" a="1"/>
  <c r="BB149" i="1" s="1"/>
  <c r="BB136" i="1" a="1"/>
  <c r="BB136" i="1" s="1"/>
  <c r="BB128" i="1" a="1"/>
  <c r="BB128" i="1" s="1"/>
  <c r="BB120" i="1" a="1"/>
  <c r="BB120" i="1" s="1"/>
  <c r="BB112" i="1" a="1"/>
  <c r="BB112" i="1" s="1"/>
  <c r="BB104" i="1" a="1"/>
  <c r="BB104" i="1" s="1"/>
  <c r="BB96" i="1" a="1"/>
  <c r="BB96" i="1" s="1"/>
  <c r="BB88" i="1" a="1"/>
  <c r="BB88" i="1" s="1"/>
  <c r="BB80" i="1" a="1"/>
  <c r="BB80" i="1" s="1"/>
  <c r="BB72" i="1" a="1"/>
  <c r="BB72" i="1" s="1"/>
  <c r="BB64" i="1" a="1"/>
  <c r="BB64" i="1" s="1"/>
  <c r="BB56" i="1" a="1"/>
  <c r="BB56" i="1" s="1"/>
  <c r="AD38" i="1"/>
  <c r="BB166" i="1" a="1"/>
  <c r="BB166" i="1" s="1"/>
  <c r="BB162" i="1" a="1"/>
  <c r="BB162" i="1" s="1"/>
  <c r="BB161" i="1" a="1"/>
  <c r="BB161" i="1" s="1"/>
  <c r="BB146" i="1" a="1"/>
  <c r="BB146" i="1" s="1"/>
  <c r="BB137" i="1" a="1"/>
  <c r="BB137" i="1" s="1"/>
  <c r="BB129" i="1" a="1"/>
  <c r="BB129" i="1" s="1"/>
  <c r="BB121" i="1" a="1"/>
  <c r="BB121" i="1" s="1"/>
  <c r="BB113" i="1" a="1"/>
  <c r="BB113" i="1" s="1"/>
  <c r="BB151" i="1" a="1"/>
  <c r="BB151" i="1" s="1"/>
  <c r="BB138" i="1" a="1"/>
  <c r="BB138" i="1" s="1"/>
  <c r="BB131" i="1" a="1"/>
  <c r="BB131" i="1" s="1"/>
  <c r="BB119" i="1" a="1"/>
  <c r="BB119" i="1" s="1"/>
  <c r="BB118" i="1" a="1"/>
  <c r="BB118" i="1" s="1"/>
  <c r="BB103" i="1" a="1"/>
  <c r="BB103" i="1" s="1"/>
  <c r="BB99" i="1" a="1"/>
  <c r="BB99" i="1" s="1"/>
  <c r="BB73" i="1" a="1"/>
  <c r="BB73" i="1" s="1"/>
  <c r="BB61" i="1" a="1"/>
  <c r="BB61" i="1" s="1"/>
  <c r="BB54" i="1" a="1"/>
  <c r="BB54" i="1" s="1"/>
  <c r="BB38" i="1" a="1"/>
  <c r="BB38" i="1" s="1"/>
  <c r="AB38" i="1"/>
  <c r="AE38" i="1" s="1"/>
  <c r="BB35" i="1" a="1"/>
  <c r="BB35" i="1" s="1"/>
  <c r="P34" i="1"/>
  <c r="BB167" i="1" a="1"/>
  <c r="BB167" i="1" s="1"/>
  <c r="BB147" i="1" a="1"/>
  <c r="BB147" i="1" s="1"/>
  <c r="BB145" i="1" a="1"/>
  <c r="BB145" i="1" s="1"/>
  <c r="BB117" i="1" a="1"/>
  <c r="BB117" i="1" s="1"/>
  <c r="BB106" i="1" a="1"/>
  <c r="BB106" i="1" s="1"/>
  <c r="BB95" i="1" a="1"/>
  <c r="BB95" i="1" s="1"/>
  <c r="BB91" i="1" a="1"/>
  <c r="BB91" i="1" s="1"/>
  <c r="BB65" i="1" a="1"/>
  <c r="BB65" i="1" s="1"/>
  <c r="BB53" i="1" a="1"/>
  <c r="BB53" i="1" s="1"/>
  <c r="BB48" i="1" a="1"/>
  <c r="BB48" i="1" s="1"/>
  <c r="R39" i="1"/>
  <c r="AB35" i="1"/>
  <c r="BB32" i="1" a="1"/>
  <c r="BB32" i="1" s="1"/>
  <c r="P31" i="1"/>
  <c r="BB143" i="1" a="1"/>
  <c r="BB143" i="1" s="1"/>
  <c r="BB142" i="1" a="1"/>
  <c r="BB142" i="1" s="1"/>
  <c r="BB130" i="1" a="1"/>
  <c r="BB130" i="1" s="1"/>
  <c r="BB123" i="1" a="1"/>
  <c r="BB123" i="1" s="1"/>
  <c r="BB111" i="1" a="1"/>
  <c r="BB111" i="1" s="1"/>
  <c r="BB110" i="1" a="1"/>
  <c r="BB110" i="1" s="1"/>
  <c r="BB102" i="1" a="1"/>
  <c r="BB102" i="1" s="1"/>
  <c r="BB98" i="1" a="1"/>
  <c r="BB98" i="1" s="1"/>
  <c r="BB87" i="1" a="1"/>
  <c r="BB87" i="1" s="1"/>
  <c r="BB83" i="1" a="1"/>
  <c r="BB83" i="1" s="1"/>
  <c r="BB57" i="1" a="1"/>
  <c r="BB57" i="1" s="1"/>
  <c r="BB43" i="1" a="1"/>
  <c r="BB43" i="1" s="1"/>
  <c r="Q39" i="1"/>
  <c r="R38" i="1"/>
  <c r="BB37" i="1" a="1"/>
  <c r="BB37" i="1" s="1"/>
  <c r="AC37" i="1"/>
  <c r="P36" i="1"/>
  <c r="AD34" i="1"/>
  <c r="Q33" i="1"/>
  <c r="AB32" i="1"/>
  <c r="R30" i="1"/>
  <c r="BB29" i="1" a="1"/>
  <c r="BB29" i="1" s="1"/>
  <c r="AC29" i="1"/>
  <c r="BB27" i="1" a="1"/>
  <c r="BB27" i="1" s="1"/>
  <c r="BB26" i="1" a="1"/>
  <c r="BB26" i="1" s="1"/>
  <c r="BB25" i="1" a="1"/>
  <c r="BB25" i="1" s="1"/>
  <c r="BB24" i="1" a="1"/>
  <c r="BB24" i="1" s="1"/>
  <c r="BB23" i="1" a="1"/>
  <c r="BB23" i="1" s="1"/>
  <c r="BB22" i="1" a="1"/>
  <c r="BB22" i="1" s="1"/>
  <c r="BB21" i="1" a="1"/>
  <c r="BB21" i="1" s="1"/>
  <c r="BB19" i="1" a="1"/>
  <c r="BB19" i="1" s="1"/>
  <c r="BB18" i="1" a="1"/>
  <c r="BB18" i="1" s="1"/>
  <c r="BB17" i="1" a="1"/>
  <c r="BB17" i="1" s="1"/>
  <c r="BB16" i="1" a="1"/>
  <c r="BB16" i="1" s="1"/>
  <c r="BB15" i="1" a="1"/>
  <c r="BB15" i="1" s="1"/>
  <c r="BB14" i="1" a="1"/>
  <c r="BB14" i="1" s="1"/>
  <c r="BB163" i="1" a="1"/>
  <c r="BB163" i="1" s="1"/>
  <c r="BB127" i="1" a="1"/>
  <c r="BB127" i="1" s="1"/>
  <c r="BB107" i="1" a="1"/>
  <c r="BB107" i="1" s="1"/>
  <c r="BB105" i="1" a="1"/>
  <c r="BB105" i="1" s="1"/>
  <c r="BB97" i="1" a="1"/>
  <c r="BB97" i="1" s="1"/>
  <c r="BB51" i="1" a="1"/>
  <c r="BB51" i="1" s="1"/>
  <c r="BB50" i="1" a="1"/>
  <c r="BB50" i="1" s="1"/>
  <c r="BB41" i="1" a="1"/>
  <c r="BB41" i="1" s="1"/>
  <c r="BB39" i="1" a="1"/>
  <c r="BB39" i="1" s="1"/>
  <c r="P38" i="1"/>
  <c r="P35" i="1"/>
  <c r="P32" i="1"/>
  <c r="AB26" i="1"/>
  <c r="AB22" i="1"/>
  <c r="AB18" i="1"/>
  <c r="BB11" i="1" a="1"/>
  <c r="BB11" i="1" s="1"/>
  <c r="AB11" i="1"/>
  <c r="P11" i="1"/>
  <c r="BB165" i="1" a="1"/>
  <c r="BB165" i="1" s="1"/>
  <c r="BB141" i="1" a="1"/>
  <c r="BB141" i="1" s="1"/>
  <c r="BB135" i="1" a="1"/>
  <c r="BB135" i="1" s="1"/>
  <c r="BB134" i="1" a="1"/>
  <c r="BB134" i="1" s="1"/>
  <c r="BB133" i="1" a="1"/>
  <c r="BB133" i="1" s="1"/>
  <c r="BB75" i="1" a="1"/>
  <c r="BB75" i="1" s="1"/>
  <c r="BB69" i="1" a="1"/>
  <c r="BB69" i="1" s="1"/>
  <c r="BB67" i="1" a="1"/>
  <c r="BB67" i="1" s="1"/>
  <c r="BB59" i="1" a="1"/>
  <c r="BB59" i="1" s="1"/>
  <c r="BB58" i="1" a="1"/>
  <c r="BB58" i="1" s="1"/>
  <c r="BB139" i="1" a="1"/>
  <c r="BB139" i="1" s="1"/>
  <c r="BB115" i="1" a="1"/>
  <c r="BB115" i="1" s="1"/>
  <c r="BB77" i="1" a="1"/>
  <c r="BB77" i="1" s="1"/>
  <c r="BB74" i="1" a="1"/>
  <c r="BB74" i="1" s="1"/>
  <c r="BB70" i="1" a="1"/>
  <c r="BB70" i="1" s="1"/>
  <c r="BB47" i="1" a="1"/>
  <c r="BB47" i="1" s="1"/>
  <c r="BB42" i="1" a="1"/>
  <c r="BB42" i="1" s="1"/>
  <c r="AB34" i="1"/>
  <c r="P33" i="1"/>
  <c r="P28" i="1"/>
  <c r="P24" i="1"/>
  <c r="P20" i="1"/>
  <c r="BB125" i="1" a="1"/>
  <c r="BB125" i="1" s="1"/>
  <c r="BB114" i="1" a="1"/>
  <c r="BB114" i="1" s="1"/>
  <c r="BB82" i="1" a="1"/>
  <c r="BB82" i="1" s="1"/>
  <c r="BB78" i="1" a="1"/>
  <c r="BB78" i="1" s="1"/>
  <c r="BB46" i="1" a="1"/>
  <c r="BB46" i="1" s="1"/>
  <c r="BB33" i="1" a="1"/>
  <c r="BB33" i="1" s="1"/>
  <c r="AB28" i="1"/>
  <c r="AB24" i="1"/>
  <c r="AB20" i="1"/>
  <c r="AB16" i="1"/>
  <c r="BB7" i="1" a="1"/>
  <c r="BB7" i="1" s="1"/>
  <c r="AB7" i="1"/>
  <c r="P7" i="1"/>
  <c r="BB90" i="1" a="1"/>
  <c r="BB90" i="1" s="1"/>
  <c r="BB89" i="1" a="1"/>
  <c r="BB89" i="1" s="1"/>
  <c r="BB55" i="1" a="1"/>
  <c r="BB55" i="1" s="1"/>
  <c r="BB45" i="1" a="1"/>
  <c r="BB45" i="1" s="1"/>
  <c r="BB34" i="1" a="1"/>
  <c r="BB34" i="1" s="1"/>
  <c r="P30" i="1"/>
  <c r="S30" i="1" s="1"/>
  <c r="P27" i="1"/>
  <c r="AB25" i="1"/>
  <c r="P10" i="1"/>
  <c r="BB79" i="1" a="1"/>
  <c r="BB79" i="1" s="1"/>
  <c r="BB62" i="1" a="1"/>
  <c r="BB62" i="1" s="1"/>
  <c r="P37" i="1"/>
  <c r="AB29" i="1"/>
  <c r="AB19" i="1"/>
  <c r="P15" i="1"/>
  <c r="AB10" i="1"/>
  <c r="P9" i="1"/>
  <c r="BB122" i="1" a="1"/>
  <c r="BB122" i="1" s="1"/>
  <c r="BB101" i="1" a="1"/>
  <c r="BB101" i="1" s="1"/>
  <c r="BB40" i="1" a="1"/>
  <c r="BB40" i="1" s="1"/>
  <c r="AB36" i="1"/>
  <c r="AB31" i="1"/>
  <c r="BB30" i="1" a="1"/>
  <c r="BB30" i="1" s="1"/>
  <c r="AB23" i="1"/>
  <c r="BB154" i="1" a="1"/>
  <c r="BB154" i="1" s="1"/>
  <c r="BB126" i="1" a="1"/>
  <c r="BB126" i="1" s="1"/>
  <c r="BB109" i="1" a="1"/>
  <c r="BB109" i="1" s="1"/>
  <c r="BB85" i="1" a="1"/>
  <c r="BB85" i="1" s="1"/>
  <c r="BB66" i="1" a="1"/>
  <c r="BB66" i="1" s="1"/>
  <c r="BB63" i="1" a="1"/>
  <c r="BB63" i="1" s="1"/>
  <c r="BB49" i="1" a="1"/>
  <c r="BB49" i="1" s="1"/>
  <c r="P42" i="1"/>
  <c r="BB155" i="1" a="1"/>
  <c r="BB155" i="1" s="1"/>
  <c r="BB93" i="1" a="1"/>
  <c r="BB93" i="1" s="1"/>
  <c r="P25" i="1"/>
  <c r="AB15" i="1"/>
  <c r="AB8" i="1"/>
  <c r="BB4" i="1" a="1"/>
  <c r="BB4" i="1" s="1"/>
  <c r="BB81" i="1" a="1"/>
  <c r="BB81" i="1" s="1"/>
  <c r="P40" i="1"/>
  <c r="P39" i="1"/>
  <c r="S39" i="1" s="1"/>
  <c r="BB31" i="1" a="1"/>
  <c r="BB31" i="1" s="1"/>
  <c r="AB30" i="1"/>
  <c r="P22" i="1"/>
  <c r="P19" i="1"/>
  <c r="AB17" i="1"/>
  <c r="AB12" i="1"/>
  <c r="BB8" i="1" a="1"/>
  <c r="BB8" i="1" s="1"/>
  <c r="P6" i="1"/>
  <c r="AB37" i="1"/>
  <c r="AB33" i="1"/>
  <c r="P23" i="1"/>
  <c r="P14" i="1"/>
  <c r="AB13" i="1"/>
  <c r="BB9" i="1" a="1"/>
  <c r="BB9" i="1" s="1"/>
  <c r="BB5" i="1" a="1"/>
  <c r="BB5" i="1" s="1"/>
  <c r="BB71" i="1" a="1"/>
  <c r="BB71" i="1" s="1"/>
  <c r="AB21" i="1"/>
  <c r="P18" i="1"/>
  <c r="P16" i="1"/>
  <c r="P12" i="1"/>
  <c r="BB94" i="1" a="1"/>
  <c r="BB94" i="1" s="1"/>
  <c r="P26" i="1"/>
  <c r="P21" i="1"/>
  <c r="P17" i="1"/>
  <c r="P8" i="1"/>
  <c r="S8" i="1" s="1"/>
  <c r="P41" i="1"/>
  <c r="P29" i="1"/>
  <c r="AB27" i="1"/>
  <c r="AB5" i="1"/>
  <c r="AB9" i="1"/>
  <c r="BB6" i="1" a="1"/>
  <c r="BB6" i="1" s="1"/>
  <c r="P13" i="1"/>
  <c r="AB3" i="1"/>
  <c r="AE3" i="1" s="1"/>
  <c r="AB14" i="1"/>
  <c r="BB10" i="1" a="1"/>
  <c r="BB10" i="1" s="1"/>
  <c r="AB6" i="1"/>
  <c r="P5" i="1"/>
  <c r="AH7" i="1"/>
  <c r="AH18" i="1"/>
  <c r="AH28" i="1"/>
  <c r="AH39" i="1"/>
  <c r="AH50" i="1"/>
  <c r="AH60" i="1"/>
  <c r="AH71" i="1"/>
  <c r="AH82" i="1"/>
  <c r="AH92" i="1"/>
  <c r="AH103" i="1"/>
  <c r="AH114" i="1"/>
  <c r="AH124" i="1"/>
  <c r="AH135" i="1"/>
  <c r="AH146" i="1"/>
  <c r="AH156" i="1"/>
  <c r="AH167" i="1"/>
  <c r="AH180" i="1"/>
  <c r="AH195" i="1"/>
  <c r="AH208" i="1"/>
  <c r="AH223" i="1"/>
  <c r="AH238" i="1"/>
  <c r="AH252" i="1"/>
  <c r="AB4" i="1"/>
  <c r="AE4" i="1" s="1"/>
  <c r="AH8" i="1"/>
  <c r="AH19" i="1"/>
  <c r="AH30" i="1"/>
  <c r="AH40" i="1"/>
  <c r="AH51" i="1"/>
  <c r="AH62" i="1"/>
  <c r="AH72" i="1"/>
  <c r="AH83" i="1"/>
  <c r="AH94" i="1"/>
  <c r="AH104" i="1"/>
  <c r="AH115" i="1"/>
  <c r="AH126" i="1"/>
  <c r="AH136" i="1"/>
  <c r="AH147" i="1"/>
  <c r="AH158" i="1"/>
  <c r="AH170" i="1"/>
  <c r="AH183" i="1"/>
  <c r="AH196" i="1"/>
  <c r="AH210" i="1"/>
  <c r="AH226" i="1"/>
  <c r="AH239" i="1"/>
  <c r="AH10" i="1"/>
  <c r="AH20" i="1"/>
  <c r="AH31" i="1"/>
  <c r="AH42" i="1"/>
  <c r="AH52" i="1"/>
  <c r="AH63" i="1"/>
  <c r="AH74" i="1"/>
  <c r="AH84" i="1"/>
  <c r="AH95" i="1"/>
  <c r="AH106" i="1"/>
  <c r="AH116" i="1"/>
  <c r="AH127" i="1"/>
  <c r="AH138" i="1"/>
  <c r="AH148" i="1"/>
  <c r="AH159" i="1"/>
  <c r="AH171" i="1"/>
  <c r="AH184" i="1"/>
  <c r="AH198" i="1"/>
  <c r="AH212" i="1"/>
  <c r="AH227" i="1"/>
  <c r="AH240" i="1"/>
  <c r="AH11" i="1"/>
  <c r="AH22" i="1"/>
  <c r="AH32" i="1"/>
  <c r="AH43" i="1"/>
  <c r="AH54" i="1"/>
  <c r="AH64" i="1"/>
  <c r="AH75" i="1"/>
  <c r="AH86" i="1"/>
  <c r="AH96" i="1"/>
  <c r="AH107" i="1"/>
  <c r="AH118" i="1"/>
  <c r="AH128" i="1"/>
  <c r="AH139" i="1"/>
  <c r="AH150" i="1"/>
  <c r="AH160" i="1"/>
  <c r="AH172" i="1"/>
  <c r="AH186" i="1"/>
  <c r="AH199" i="1"/>
  <c r="AH215" i="1"/>
  <c r="AH228" i="1"/>
  <c r="AH242" i="1"/>
  <c r="AH12" i="1"/>
  <c r="AH23" i="1"/>
  <c r="AH34" i="1"/>
  <c r="AH44" i="1"/>
  <c r="AH55" i="1"/>
  <c r="AH66" i="1"/>
  <c r="AH76" i="1"/>
  <c r="AH87" i="1"/>
  <c r="AH98" i="1"/>
  <c r="AH108" i="1"/>
  <c r="AH119" i="1"/>
  <c r="AH130" i="1"/>
  <c r="AH140" i="1"/>
  <c r="AH151" i="1"/>
  <c r="AH162" i="1"/>
  <c r="AH174" i="1"/>
  <c r="AH187" i="1"/>
  <c r="AH202" i="1"/>
  <c r="AH216" i="1"/>
  <c r="AH230" i="1"/>
  <c r="AH244" i="1"/>
  <c r="G249" i="3" a="1"/>
  <c r="G249" i="3" s="1"/>
  <c r="H247" i="3" a="1"/>
  <c r="H247" i="3" s="1"/>
  <c r="G241" i="3" a="1"/>
  <c r="G241" i="3" s="1"/>
  <c r="H239" i="3" a="1"/>
  <c r="H239" i="3" s="1"/>
  <c r="G233" i="3" a="1"/>
  <c r="G233" i="3" s="1"/>
  <c r="G248" i="3" a="1"/>
  <c r="G248" i="3" s="1"/>
  <c r="H246" i="3" a="1"/>
  <c r="H246" i="3" s="1"/>
  <c r="G240" i="3" a="1"/>
  <c r="G240" i="3" s="1"/>
  <c r="H238" i="3" a="1"/>
  <c r="H238" i="3" s="1"/>
  <c r="G247" i="3" a="1"/>
  <c r="G247" i="3" s="1"/>
  <c r="G246" i="3" a="1"/>
  <c r="G246" i="3" s="1"/>
  <c r="H244" i="3" a="1"/>
  <c r="H244" i="3" s="1"/>
  <c r="H251" i="3" a="1"/>
  <c r="H251" i="3" s="1"/>
  <c r="G245" i="3" a="1"/>
  <c r="G245" i="3" s="1"/>
  <c r="H243" i="3" a="1"/>
  <c r="H243" i="3" s="1"/>
  <c r="H250" i="3" a="1"/>
  <c r="H250" i="3" s="1"/>
  <c r="G244" i="3" a="1"/>
  <c r="G244" i="3" s="1"/>
  <c r="H242" i="3" a="1"/>
  <c r="H242" i="3" s="1"/>
  <c r="G236" i="3" a="1"/>
  <c r="G236" i="3" s="1"/>
  <c r="G251" i="3" a="1"/>
  <c r="G251" i="3" s="1"/>
  <c r="H249" i="3" a="1"/>
  <c r="H249" i="3" s="1"/>
  <c r="G243" i="3" a="1"/>
  <c r="G243" i="3" s="1"/>
  <c r="G250" i="3" a="1"/>
  <c r="G250" i="3" s="1"/>
  <c r="H248" i="3" a="1"/>
  <c r="H248" i="3" s="1"/>
  <c r="G242" i="3" a="1"/>
  <c r="G242" i="3" s="1"/>
  <c r="H241" i="3" a="1"/>
  <c r="H241" i="3" s="1"/>
  <c r="H233" i="3" a="1"/>
  <c r="H233" i="3" s="1"/>
  <c r="H232" i="3" a="1"/>
  <c r="H232" i="3" s="1"/>
  <c r="G226" i="3" a="1"/>
  <c r="G226" i="3" s="1"/>
  <c r="H224" i="3" a="1"/>
  <c r="H224" i="3" s="1"/>
  <c r="G218" i="3" a="1"/>
  <c r="G218" i="3" s="1"/>
  <c r="H216" i="3" a="1"/>
  <c r="H216" i="3" s="1"/>
  <c r="G210" i="3" a="1"/>
  <c r="G210" i="3" s="1"/>
  <c r="H208" i="3" a="1"/>
  <c r="H208" i="3" s="1"/>
  <c r="G202" i="3" a="1"/>
  <c r="G202" i="3" s="1"/>
  <c r="H200" i="3" a="1"/>
  <c r="H200" i="3" s="1"/>
  <c r="G194" i="3" a="1"/>
  <c r="G194" i="3" s="1"/>
  <c r="H192" i="3" a="1"/>
  <c r="H192" i="3" s="1"/>
  <c r="G186" i="3" a="1"/>
  <c r="G186" i="3" s="1"/>
  <c r="H184" i="3" a="1"/>
  <c r="H184" i="3" s="1"/>
  <c r="G178" i="3" a="1"/>
  <c r="G178" i="3" s="1"/>
  <c r="H176" i="3" a="1"/>
  <c r="H176" i="3" s="1"/>
  <c r="G170" i="3" a="1"/>
  <c r="G170" i="3" s="1"/>
  <c r="H168" i="3" a="1"/>
  <c r="H168" i="3" s="1"/>
  <c r="G162" i="3" a="1"/>
  <c r="G162" i="3" s="1"/>
  <c r="H160" i="3" a="1"/>
  <c r="H160" i="3" s="1"/>
  <c r="G154" i="3" a="1"/>
  <c r="G154" i="3" s="1"/>
  <c r="H152" i="3" a="1"/>
  <c r="H152" i="3" s="1"/>
  <c r="G146" i="3" a="1"/>
  <c r="G146" i="3" s="1"/>
  <c r="H144" i="3" a="1"/>
  <c r="H144" i="3" s="1"/>
  <c r="G138" i="3" a="1"/>
  <c r="G138" i="3" s="1"/>
  <c r="H136" i="3" a="1"/>
  <c r="H136" i="3" s="1"/>
  <c r="H245" i="3" a="1"/>
  <c r="H245" i="3" s="1"/>
  <c r="H234" i="3" a="1"/>
  <c r="H234" i="3" s="1"/>
  <c r="H231" i="3" a="1"/>
  <c r="H231" i="3" s="1"/>
  <c r="G225" i="3" a="1"/>
  <c r="G225" i="3" s="1"/>
  <c r="H223" i="3" a="1"/>
  <c r="H223" i="3" s="1"/>
  <c r="G217" i="3" a="1"/>
  <c r="G217" i="3" s="1"/>
  <c r="H215" i="3" a="1"/>
  <c r="H215" i="3" s="1"/>
  <c r="G209" i="3" a="1"/>
  <c r="G209" i="3" s="1"/>
  <c r="H207" i="3" a="1"/>
  <c r="H207" i="3" s="1"/>
  <c r="G201" i="3" a="1"/>
  <c r="G201" i="3" s="1"/>
  <c r="H199" i="3" a="1"/>
  <c r="H199" i="3" s="1"/>
  <c r="G193" i="3" a="1"/>
  <c r="G193" i="3" s="1"/>
  <c r="H191" i="3" a="1"/>
  <c r="H191" i="3" s="1"/>
  <c r="G185" i="3" a="1"/>
  <c r="G185" i="3" s="1"/>
  <c r="H183" i="3" a="1"/>
  <c r="H183" i="3" s="1"/>
  <c r="G177" i="3" a="1"/>
  <c r="G177" i="3" s="1"/>
  <c r="H175" i="3" a="1"/>
  <c r="H175" i="3" s="1"/>
  <c r="G169" i="3" a="1"/>
  <c r="G169" i="3" s="1"/>
  <c r="H167" i="3" a="1"/>
  <c r="H167" i="3" s="1"/>
  <c r="G161" i="3" a="1"/>
  <c r="G161" i="3" s="1"/>
  <c r="H159" i="3" a="1"/>
  <c r="H159" i="3" s="1"/>
  <c r="G153" i="3" a="1"/>
  <c r="G153" i="3" s="1"/>
  <c r="H151" i="3" a="1"/>
  <c r="H151" i="3" s="1"/>
  <c r="G145" i="3" a="1"/>
  <c r="G145" i="3" s="1"/>
  <c r="H143" i="3" a="1"/>
  <c r="H143" i="3" s="1"/>
  <c r="G137" i="3" a="1"/>
  <c r="G137" i="3" s="1"/>
  <c r="H135" i="3" a="1"/>
  <c r="H135" i="3" s="1"/>
  <c r="H235" i="3" a="1"/>
  <c r="H235" i="3" s="1"/>
  <c r="G232" i="3" a="1"/>
  <c r="G232" i="3" s="1"/>
  <c r="H230" i="3" a="1"/>
  <c r="H230" i="3" s="1"/>
  <c r="G224" i="3" a="1"/>
  <c r="G224" i="3" s="1"/>
  <c r="H222" i="3" a="1"/>
  <c r="H222" i="3" s="1"/>
  <c r="G216" i="3" a="1"/>
  <c r="G216" i="3" s="1"/>
  <c r="H214" i="3" a="1"/>
  <c r="H214" i="3" s="1"/>
  <c r="G208" i="3" a="1"/>
  <c r="G208" i="3" s="1"/>
  <c r="H206" i="3" a="1"/>
  <c r="H206" i="3" s="1"/>
  <c r="G200" i="3" a="1"/>
  <c r="G200" i="3" s="1"/>
  <c r="H198" i="3" a="1"/>
  <c r="H198" i="3" s="1"/>
  <c r="G192" i="3" a="1"/>
  <c r="G192" i="3" s="1"/>
  <c r="H190" i="3" a="1"/>
  <c r="H190" i="3" s="1"/>
  <c r="G184" i="3" a="1"/>
  <c r="G184" i="3" s="1"/>
  <c r="H182" i="3" a="1"/>
  <c r="H182" i="3" s="1"/>
  <c r="G176" i="3" a="1"/>
  <c r="G176" i="3" s="1"/>
  <c r="H174" i="3" a="1"/>
  <c r="H174" i="3" s="1"/>
  <c r="G168" i="3" a="1"/>
  <c r="G168" i="3" s="1"/>
  <c r="H166" i="3" a="1"/>
  <c r="H166" i="3" s="1"/>
  <c r="G160" i="3" a="1"/>
  <c r="G160" i="3" s="1"/>
  <c r="H237" i="3" a="1"/>
  <c r="H237" i="3" s="1"/>
  <c r="H236" i="3" a="1"/>
  <c r="H236" i="3" s="1"/>
  <c r="G234" i="3" a="1"/>
  <c r="G234" i="3" s="1"/>
  <c r="G231" i="3" a="1"/>
  <c r="G231" i="3" s="1"/>
  <c r="H229" i="3" a="1"/>
  <c r="H229" i="3" s="1"/>
  <c r="G223" i="3" a="1"/>
  <c r="G223" i="3" s="1"/>
  <c r="H221" i="3" a="1"/>
  <c r="H221" i="3" s="1"/>
  <c r="G215" i="3" a="1"/>
  <c r="G215" i="3" s="1"/>
  <c r="H213" i="3" a="1"/>
  <c r="H213" i="3" s="1"/>
  <c r="G207" i="3" a="1"/>
  <c r="G207" i="3" s="1"/>
  <c r="H205" i="3" a="1"/>
  <c r="H205" i="3" s="1"/>
  <c r="G199" i="3" a="1"/>
  <c r="G199" i="3" s="1"/>
  <c r="H197" i="3" a="1"/>
  <c r="H197" i="3" s="1"/>
  <c r="G191" i="3" a="1"/>
  <c r="G191" i="3" s="1"/>
  <c r="H189" i="3" a="1"/>
  <c r="H189" i="3" s="1"/>
  <c r="G183" i="3" a="1"/>
  <c r="G183" i="3" s="1"/>
  <c r="H181" i="3" a="1"/>
  <c r="H181" i="3" s="1"/>
  <c r="G175" i="3" a="1"/>
  <c r="G175" i="3" s="1"/>
  <c r="H173" i="3" a="1"/>
  <c r="H173" i="3" s="1"/>
  <c r="G167" i="3" a="1"/>
  <c r="G167" i="3" s="1"/>
  <c r="H165" i="3" a="1"/>
  <c r="H165" i="3" s="1"/>
  <c r="G235" i="3" a="1"/>
  <c r="G235" i="3" s="1"/>
  <c r="G230" i="3" a="1"/>
  <c r="G230" i="3" s="1"/>
  <c r="H228" i="3" a="1"/>
  <c r="H228" i="3" s="1"/>
  <c r="G222" i="3" a="1"/>
  <c r="G222" i="3" s="1"/>
  <c r="H220" i="3" a="1"/>
  <c r="H220" i="3" s="1"/>
  <c r="G214" i="3" a="1"/>
  <c r="G214" i="3" s="1"/>
  <c r="H212" i="3" a="1"/>
  <c r="H212" i="3" s="1"/>
  <c r="G206" i="3" a="1"/>
  <c r="G206" i="3" s="1"/>
  <c r="H204" i="3" a="1"/>
  <c r="H204" i="3" s="1"/>
  <c r="G198" i="3" a="1"/>
  <c r="G198" i="3" s="1"/>
  <c r="H196" i="3" a="1"/>
  <c r="H196" i="3" s="1"/>
  <c r="G190" i="3" a="1"/>
  <c r="G190" i="3" s="1"/>
  <c r="H188" i="3" a="1"/>
  <c r="H188" i="3" s="1"/>
  <c r="G182" i="3" a="1"/>
  <c r="G182" i="3" s="1"/>
  <c r="H180" i="3" a="1"/>
  <c r="H180" i="3" s="1"/>
  <c r="G174" i="3" a="1"/>
  <c r="G174" i="3" s="1"/>
  <c r="H172" i="3" a="1"/>
  <c r="H172" i="3" s="1"/>
  <c r="G166" i="3" a="1"/>
  <c r="G166" i="3" s="1"/>
  <c r="H164" i="3" a="1"/>
  <c r="H164" i="3" s="1"/>
  <c r="G158" i="3" a="1"/>
  <c r="G158" i="3" s="1"/>
  <c r="H156" i="3" a="1"/>
  <c r="H156" i="3" s="1"/>
  <c r="G150" i="3" a="1"/>
  <c r="G150" i="3" s="1"/>
  <c r="H148" i="3" a="1"/>
  <c r="H148" i="3" s="1"/>
  <c r="G142" i="3" a="1"/>
  <c r="G142" i="3" s="1"/>
  <c r="H140" i="3" a="1"/>
  <c r="H140" i="3" s="1"/>
  <c r="G134" i="3" a="1"/>
  <c r="G134" i="3" s="1"/>
  <c r="H132" i="3" a="1"/>
  <c r="H132" i="3" s="1"/>
  <c r="G238" i="3" a="1"/>
  <c r="G238" i="3" s="1"/>
  <c r="G237" i="3" a="1"/>
  <c r="G237" i="3" s="1"/>
  <c r="G229" i="3" a="1"/>
  <c r="G229" i="3" s="1"/>
  <c r="H227" i="3" a="1"/>
  <c r="H227" i="3" s="1"/>
  <c r="G221" i="3" a="1"/>
  <c r="G221" i="3" s="1"/>
  <c r="H219" i="3" a="1"/>
  <c r="H219" i="3" s="1"/>
  <c r="G213" i="3" a="1"/>
  <c r="G213" i="3" s="1"/>
  <c r="H211" i="3" a="1"/>
  <c r="H211" i="3" s="1"/>
  <c r="G205" i="3" a="1"/>
  <c r="G205" i="3" s="1"/>
  <c r="H203" i="3" a="1"/>
  <c r="H203" i="3" s="1"/>
  <c r="G197" i="3" a="1"/>
  <c r="G197" i="3" s="1"/>
  <c r="H195" i="3" a="1"/>
  <c r="H195" i="3" s="1"/>
  <c r="G189" i="3" a="1"/>
  <c r="G189" i="3" s="1"/>
  <c r="H187" i="3" a="1"/>
  <c r="H187" i="3" s="1"/>
  <c r="G181" i="3" a="1"/>
  <c r="G181" i="3" s="1"/>
  <c r="H179" i="3" a="1"/>
  <c r="H179" i="3" s="1"/>
  <c r="G173" i="3" a="1"/>
  <c r="G173" i="3" s="1"/>
  <c r="H171" i="3" a="1"/>
  <c r="H171" i="3" s="1"/>
  <c r="G165" i="3" a="1"/>
  <c r="G165" i="3" s="1"/>
  <c r="H163" i="3" a="1"/>
  <c r="H163" i="3" s="1"/>
  <c r="G157" i="3" a="1"/>
  <c r="G157" i="3" s="1"/>
  <c r="H155" i="3" a="1"/>
  <c r="H155" i="3" s="1"/>
  <c r="G149" i="3" a="1"/>
  <c r="G149" i="3" s="1"/>
  <c r="H147" i="3" a="1"/>
  <c r="H147" i="3" s="1"/>
  <c r="G141" i="3" a="1"/>
  <c r="G141" i="3" s="1"/>
  <c r="H139" i="3" a="1"/>
  <c r="H139" i="3" s="1"/>
  <c r="G239" i="3" a="1"/>
  <c r="G239" i="3" s="1"/>
  <c r="G228" i="3" a="1"/>
  <c r="G228" i="3" s="1"/>
  <c r="H226" i="3" a="1"/>
  <c r="H226" i="3" s="1"/>
  <c r="G220" i="3" a="1"/>
  <c r="G220" i="3" s="1"/>
  <c r="H218" i="3" a="1"/>
  <c r="H218" i="3" s="1"/>
  <c r="G212" i="3" a="1"/>
  <c r="G212" i="3" s="1"/>
  <c r="H210" i="3" a="1"/>
  <c r="H210" i="3" s="1"/>
  <c r="G204" i="3" a="1"/>
  <c r="G204" i="3" s="1"/>
  <c r="H202" i="3" a="1"/>
  <c r="H202" i="3" s="1"/>
  <c r="G196" i="3" a="1"/>
  <c r="G196" i="3" s="1"/>
  <c r="H194" i="3" a="1"/>
  <c r="H194" i="3" s="1"/>
  <c r="G188" i="3" a="1"/>
  <c r="G188" i="3" s="1"/>
  <c r="H186" i="3" a="1"/>
  <c r="H186" i="3" s="1"/>
  <c r="G180" i="3" a="1"/>
  <c r="G180" i="3" s="1"/>
  <c r="H178" i="3" a="1"/>
  <c r="H178" i="3" s="1"/>
  <c r="G172" i="3" a="1"/>
  <c r="G172" i="3" s="1"/>
  <c r="H170" i="3" a="1"/>
  <c r="H170" i="3" s="1"/>
  <c r="G164" i="3" a="1"/>
  <c r="G164" i="3" s="1"/>
  <c r="H162" i="3" a="1"/>
  <c r="H162" i="3" s="1"/>
  <c r="G156" i="3" a="1"/>
  <c r="G156" i="3" s="1"/>
  <c r="H240" i="3" a="1"/>
  <c r="H240" i="3" s="1"/>
  <c r="G227" i="3" a="1"/>
  <c r="G227" i="3" s="1"/>
  <c r="H225" i="3" a="1"/>
  <c r="H225" i="3" s="1"/>
  <c r="G219" i="3" a="1"/>
  <c r="G219" i="3" s="1"/>
  <c r="H217" i="3" a="1"/>
  <c r="H217" i="3" s="1"/>
  <c r="G211" i="3" a="1"/>
  <c r="G211" i="3" s="1"/>
  <c r="H209" i="3" a="1"/>
  <c r="H209" i="3" s="1"/>
  <c r="G203" i="3" a="1"/>
  <c r="G203" i="3" s="1"/>
  <c r="H201" i="3" a="1"/>
  <c r="H201" i="3" s="1"/>
  <c r="G195" i="3" a="1"/>
  <c r="G195" i="3" s="1"/>
  <c r="H193" i="3" a="1"/>
  <c r="H193" i="3" s="1"/>
  <c r="G187" i="3" a="1"/>
  <c r="G187" i="3" s="1"/>
  <c r="H185" i="3" a="1"/>
  <c r="H185" i="3" s="1"/>
  <c r="G179" i="3" a="1"/>
  <c r="G179" i="3" s="1"/>
  <c r="H177" i="3" a="1"/>
  <c r="H177" i="3" s="1"/>
  <c r="G171" i="3" a="1"/>
  <c r="G171" i="3" s="1"/>
  <c r="H169" i="3" a="1"/>
  <c r="H169" i="3" s="1"/>
  <c r="G163" i="3" a="1"/>
  <c r="G163" i="3" s="1"/>
  <c r="H161" i="3" a="1"/>
  <c r="H161" i="3" s="1"/>
  <c r="G155" i="3" a="1"/>
  <c r="G155" i="3" s="1"/>
  <c r="H153" i="3" a="1"/>
  <c r="H153" i="3" s="1"/>
  <c r="H154" i="3" a="1"/>
  <c r="H154" i="3" s="1"/>
  <c r="H134" i="3" a="1"/>
  <c r="H134" i="3" s="1"/>
  <c r="H133" i="3" a="1"/>
  <c r="H133" i="3" s="1"/>
  <c r="H131" i="3" a="1"/>
  <c r="H131" i="3" s="1"/>
  <c r="G125" i="3" a="1"/>
  <c r="G125" i="3" s="1"/>
  <c r="H123" i="3" a="1"/>
  <c r="H123" i="3" s="1"/>
  <c r="G117" i="3" a="1"/>
  <c r="G117" i="3" s="1"/>
  <c r="H115" i="3" a="1"/>
  <c r="H115" i="3" s="1"/>
  <c r="G109" i="3" a="1"/>
  <c r="G109" i="3" s="1"/>
  <c r="H107" i="3" a="1"/>
  <c r="H107" i="3" s="1"/>
  <c r="G101" i="3" a="1"/>
  <c r="G101" i="3" s="1"/>
  <c r="H99" i="3" a="1"/>
  <c r="H99" i="3" s="1"/>
  <c r="G93" i="3" a="1"/>
  <c r="G93" i="3" s="1"/>
  <c r="H91" i="3" a="1"/>
  <c r="H91" i="3" s="1"/>
  <c r="G85" i="3" a="1"/>
  <c r="G85" i="3" s="1"/>
  <c r="H83" i="3" a="1"/>
  <c r="H83" i="3" s="1"/>
  <c r="G77" i="3" a="1"/>
  <c r="G77" i="3" s="1"/>
  <c r="H75" i="3" a="1"/>
  <c r="H75" i="3" s="1"/>
  <c r="G69" i="3" a="1"/>
  <c r="G69" i="3" s="1"/>
  <c r="H67" i="3" a="1"/>
  <c r="H67" i="3" s="1"/>
  <c r="G61" i="3" a="1"/>
  <c r="G61" i="3" s="1"/>
  <c r="H59" i="3" a="1"/>
  <c r="H59" i="3" s="1"/>
  <c r="G53" i="3" a="1"/>
  <c r="G53" i="3" s="1"/>
  <c r="H51" i="3" a="1"/>
  <c r="H51" i="3" s="1"/>
  <c r="G45" i="3" a="1"/>
  <c r="G45" i="3" s="1"/>
  <c r="H43" i="3" a="1"/>
  <c r="H43" i="3" s="1"/>
  <c r="G37" i="3" a="1"/>
  <c r="G37" i="3" s="1"/>
  <c r="H35" i="3" a="1"/>
  <c r="H35" i="3" s="1"/>
  <c r="G29" i="3" a="1"/>
  <c r="G29" i="3" s="1"/>
  <c r="H27" i="3" a="1"/>
  <c r="H27" i="3" s="1"/>
  <c r="G151" i="3" a="1"/>
  <c r="G151" i="3" s="1"/>
  <c r="G147" i="3" a="1"/>
  <c r="G147" i="3" s="1"/>
  <c r="G143" i="3" a="1"/>
  <c r="G143" i="3" s="1"/>
  <c r="G139" i="3" a="1"/>
  <c r="G139" i="3" s="1"/>
  <c r="G133" i="3" a="1"/>
  <c r="G133" i="3" s="1"/>
  <c r="G132" i="3" a="1"/>
  <c r="G132" i="3" s="1"/>
  <c r="H130" i="3" a="1"/>
  <c r="H130" i="3" s="1"/>
  <c r="G124" i="3" a="1"/>
  <c r="G124" i="3" s="1"/>
  <c r="H122" i="3" a="1"/>
  <c r="H122" i="3" s="1"/>
  <c r="G116" i="3" a="1"/>
  <c r="G116" i="3" s="1"/>
  <c r="H114" i="3" a="1"/>
  <c r="H114" i="3" s="1"/>
  <c r="G108" i="3" a="1"/>
  <c r="G108" i="3" s="1"/>
  <c r="H106" i="3" a="1"/>
  <c r="H106" i="3" s="1"/>
  <c r="G100" i="3" a="1"/>
  <c r="G100" i="3" s="1"/>
  <c r="H98" i="3" a="1"/>
  <c r="H98" i="3" s="1"/>
  <c r="G92" i="3" a="1"/>
  <c r="G92" i="3" s="1"/>
  <c r="H90" i="3" a="1"/>
  <c r="H90" i="3" s="1"/>
  <c r="G84" i="3" a="1"/>
  <c r="G84" i="3" s="1"/>
  <c r="H82" i="3" a="1"/>
  <c r="H82" i="3" s="1"/>
  <c r="G76" i="3" a="1"/>
  <c r="G76" i="3" s="1"/>
  <c r="H74" i="3" a="1"/>
  <c r="H74" i="3" s="1"/>
  <c r="G68" i="3" a="1"/>
  <c r="G68" i="3" s="1"/>
  <c r="H66" i="3" a="1"/>
  <c r="H66" i="3" s="1"/>
  <c r="G60" i="3" a="1"/>
  <c r="G60" i="3" s="1"/>
  <c r="H58" i="3" a="1"/>
  <c r="H58" i="3" s="1"/>
  <c r="G52" i="3" a="1"/>
  <c r="G52" i="3" s="1"/>
  <c r="H50" i="3" a="1"/>
  <c r="H50" i="3" s="1"/>
  <c r="G44" i="3" a="1"/>
  <c r="G44" i="3" s="1"/>
  <c r="H42" i="3" a="1"/>
  <c r="H42" i="3" s="1"/>
  <c r="G36" i="3" a="1"/>
  <c r="G36" i="3" s="1"/>
  <c r="H34" i="3" a="1"/>
  <c r="H34" i="3" s="1"/>
  <c r="G159" i="3" a="1"/>
  <c r="G159" i="3" s="1"/>
  <c r="G135" i="3" a="1"/>
  <c r="G135" i="3" s="1"/>
  <c r="G131" i="3" a="1"/>
  <c r="G131" i="3" s="1"/>
  <c r="H129" i="3" a="1"/>
  <c r="H129" i="3" s="1"/>
  <c r="G123" i="3" a="1"/>
  <c r="G123" i="3" s="1"/>
  <c r="H121" i="3" a="1"/>
  <c r="H121" i="3" s="1"/>
  <c r="G115" i="3" a="1"/>
  <c r="G115" i="3" s="1"/>
  <c r="H113" i="3" a="1"/>
  <c r="H113" i="3" s="1"/>
  <c r="G107" i="3" a="1"/>
  <c r="G107" i="3" s="1"/>
  <c r="H105" i="3" a="1"/>
  <c r="H105" i="3" s="1"/>
  <c r="G99" i="3" a="1"/>
  <c r="G99" i="3" s="1"/>
  <c r="H97" i="3" a="1"/>
  <c r="H97" i="3" s="1"/>
  <c r="G91" i="3" a="1"/>
  <c r="G91" i="3" s="1"/>
  <c r="H89" i="3" a="1"/>
  <c r="H89" i="3" s="1"/>
  <c r="G83" i="3" a="1"/>
  <c r="G83" i="3" s="1"/>
  <c r="H81" i="3" a="1"/>
  <c r="H81" i="3" s="1"/>
  <c r="G75" i="3" a="1"/>
  <c r="G75" i="3" s="1"/>
  <c r="H73" i="3" a="1"/>
  <c r="H73" i="3" s="1"/>
  <c r="G67" i="3" a="1"/>
  <c r="G67" i="3" s="1"/>
  <c r="H65" i="3" a="1"/>
  <c r="H65" i="3" s="1"/>
  <c r="G59" i="3" a="1"/>
  <c r="G59" i="3" s="1"/>
  <c r="G152" i="3" a="1"/>
  <c r="G152" i="3" s="1"/>
  <c r="G148" i="3" a="1"/>
  <c r="G148" i="3" s="1"/>
  <c r="G144" i="3" a="1"/>
  <c r="G144" i="3" s="1"/>
  <c r="G140" i="3" a="1"/>
  <c r="G140" i="3" s="1"/>
  <c r="G136" i="3" a="1"/>
  <c r="G136" i="3" s="1"/>
  <c r="G130" i="3" a="1"/>
  <c r="G130" i="3" s="1"/>
  <c r="H128" i="3" a="1"/>
  <c r="H128" i="3" s="1"/>
  <c r="G122" i="3" a="1"/>
  <c r="G122" i="3" s="1"/>
  <c r="H120" i="3" a="1"/>
  <c r="H120" i="3" s="1"/>
  <c r="G114" i="3" a="1"/>
  <c r="G114" i="3" s="1"/>
  <c r="H112" i="3" a="1"/>
  <c r="H112" i="3" s="1"/>
  <c r="G106" i="3" a="1"/>
  <c r="G106" i="3" s="1"/>
  <c r="H104" i="3" a="1"/>
  <c r="H104" i="3" s="1"/>
  <c r="G98" i="3" a="1"/>
  <c r="G98" i="3" s="1"/>
  <c r="H96" i="3" a="1"/>
  <c r="H96" i="3" s="1"/>
  <c r="G90" i="3" a="1"/>
  <c r="G90" i="3" s="1"/>
  <c r="H88" i="3" a="1"/>
  <c r="H88" i="3" s="1"/>
  <c r="G82" i="3" a="1"/>
  <c r="G82" i="3" s="1"/>
  <c r="H80" i="3" a="1"/>
  <c r="H80" i="3" s="1"/>
  <c r="G74" i="3" a="1"/>
  <c r="G74" i="3" s="1"/>
  <c r="H72" i="3" a="1"/>
  <c r="H72" i="3" s="1"/>
  <c r="H157" i="3" a="1"/>
  <c r="H157" i="3" s="1"/>
  <c r="G129" i="3" a="1"/>
  <c r="G129" i="3" s="1"/>
  <c r="H127" i="3" a="1"/>
  <c r="H127" i="3" s="1"/>
  <c r="G121" i="3" a="1"/>
  <c r="G121" i="3" s="1"/>
  <c r="H119" i="3" a="1"/>
  <c r="H119" i="3" s="1"/>
  <c r="G113" i="3" a="1"/>
  <c r="G113" i="3" s="1"/>
  <c r="H111" i="3" a="1"/>
  <c r="H111" i="3" s="1"/>
  <c r="G105" i="3" a="1"/>
  <c r="G105" i="3" s="1"/>
  <c r="H103" i="3" a="1"/>
  <c r="H103" i="3" s="1"/>
  <c r="G97" i="3" a="1"/>
  <c r="G97" i="3" s="1"/>
  <c r="H95" i="3" a="1"/>
  <c r="H95" i="3" s="1"/>
  <c r="G89" i="3" a="1"/>
  <c r="G89" i="3" s="1"/>
  <c r="H87" i="3" a="1"/>
  <c r="H87" i="3" s="1"/>
  <c r="G81" i="3" a="1"/>
  <c r="G81" i="3" s="1"/>
  <c r="H79" i="3" a="1"/>
  <c r="H79" i="3" s="1"/>
  <c r="G73" i="3" a="1"/>
  <c r="G73" i="3" s="1"/>
  <c r="H71" i="3" a="1"/>
  <c r="H71" i="3" s="1"/>
  <c r="G65" i="3" a="1"/>
  <c r="G65" i="3" s="1"/>
  <c r="H63" i="3" a="1"/>
  <c r="H63" i="3" s="1"/>
  <c r="G57" i="3" a="1"/>
  <c r="G57" i="3" s="1"/>
  <c r="H55" i="3" a="1"/>
  <c r="H55" i="3" s="1"/>
  <c r="G49" i="3" a="1"/>
  <c r="G49" i="3" s="1"/>
  <c r="H47" i="3" a="1"/>
  <c r="H47" i="3" s="1"/>
  <c r="G41" i="3" a="1"/>
  <c r="G41" i="3" s="1"/>
  <c r="H39" i="3" a="1"/>
  <c r="H39" i="3" s="1"/>
  <c r="G33" i="3" a="1"/>
  <c r="G33" i="3" s="1"/>
  <c r="H31" i="3" a="1"/>
  <c r="H31" i="3" s="1"/>
  <c r="G25" i="3" a="1"/>
  <c r="G25" i="3" s="1"/>
  <c r="H23" i="3" a="1"/>
  <c r="H23" i="3" s="1"/>
  <c r="G17" i="3" a="1"/>
  <c r="G17" i="3" s="1"/>
  <c r="H149" i="3" a="1"/>
  <c r="H149" i="3" s="1"/>
  <c r="H145" i="3" a="1"/>
  <c r="H145" i="3" s="1"/>
  <c r="H141" i="3" a="1"/>
  <c r="H141" i="3" s="1"/>
  <c r="H137" i="3" a="1"/>
  <c r="H137" i="3" s="1"/>
  <c r="G128" i="3" a="1"/>
  <c r="G128" i="3" s="1"/>
  <c r="H126" i="3" a="1"/>
  <c r="H126" i="3" s="1"/>
  <c r="G120" i="3" a="1"/>
  <c r="G120" i="3" s="1"/>
  <c r="H118" i="3" a="1"/>
  <c r="H118" i="3" s="1"/>
  <c r="G112" i="3" a="1"/>
  <c r="G112" i="3" s="1"/>
  <c r="H110" i="3" a="1"/>
  <c r="H110" i="3" s="1"/>
  <c r="G104" i="3" a="1"/>
  <c r="G104" i="3" s="1"/>
  <c r="H102" i="3" a="1"/>
  <c r="H102" i="3" s="1"/>
  <c r="G96" i="3" a="1"/>
  <c r="G96" i="3" s="1"/>
  <c r="H94" i="3" a="1"/>
  <c r="H94" i="3" s="1"/>
  <c r="G88" i="3" a="1"/>
  <c r="G88" i="3" s="1"/>
  <c r="H86" i="3" a="1"/>
  <c r="H86" i="3" s="1"/>
  <c r="G80" i="3" a="1"/>
  <c r="G80" i="3" s="1"/>
  <c r="H78" i="3" a="1"/>
  <c r="H78" i="3" s="1"/>
  <c r="G72" i="3" a="1"/>
  <c r="G72" i="3" s="1"/>
  <c r="H70" i="3" a="1"/>
  <c r="H70" i="3" s="1"/>
  <c r="G64" i="3" a="1"/>
  <c r="G64" i="3" s="1"/>
  <c r="H62" i="3" a="1"/>
  <c r="H62" i="3" s="1"/>
  <c r="G56" i="3" a="1"/>
  <c r="G56" i="3" s="1"/>
  <c r="H54" i="3" a="1"/>
  <c r="H54" i="3" s="1"/>
  <c r="G48" i="3" a="1"/>
  <c r="G48" i="3" s="1"/>
  <c r="H46" i="3" a="1"/>
  <c r="H46" i="3" s="1"/>
  <c r="G40" i="3" a="1"/>
  <c r="G40" i="3" s="1"/>
  <c r="H38" i="3" a="1"/>
  <c r="H38" i="3" s="1"/>
  <c r="G32" i="3" a="1"/>
  <c r="G32" i="3" s="1"/>
  <c r="H150" i="3" a="1"/>
  <c r="H150" i="3" s="1"/>
  <c r="H146" i="3" a="1"/>
  <c r="H146" i="3" s="1"/>
  <c r="H142" i="3" a="1"/>
  <c r="H142" i="3" s="1"/>
  <c r="H138" i="3" a="1"/>
  <c r="H138" i="3" s="1"/>
  <c r="G127" i="3" a="1"/>
  <c r="G127" i="3" s="1"/>
  <c r="H125" i="3" a="1"/>
  <c r="H125" i="3" s="1"/>
  <c r="G119" i="3" a="1"/>
  <c r="G119" i="3" s="1"/>
  <c r="H117" i="3" a="1"/>
  <c r="H117" i="3" s="1"/>
  <c r="G111" i="3" a="1"/>
  <c r="G111" i="3" s="1"/>
  <c r="H109" i="3" a="1"/>
  <c r="H109" i="3" s="1"/>
  <c r="G103" i="3" a="1"/>
  <c r="G103" i="3" s="1"/>
  <c r="H101" i="3" a="1"/>
  <c r="H101" i="3" s="1"/>
  <c r="G95" i="3" a="1"/>
  <c r="G95" i="3" s="1"/>
  <c r="H93" i="3" a="1"/>
  <c r="H93" i="3" s="1"/>
  <c r="G87" i="3" a="1"/>
  <c r="G87" i="3" s="1"/>
  <c r="H85" i="3" a="1"/>
  <c r="H85" i="3" s="1"/>
  <c r="G79" i="3" a="1"/>
  <c r="G79" i="3" s="1"/>
  <c r="H77" i="3" a="1"/>
  <c r="H77" i="3" s="1"/>
  <c r="G71" i="3" a="1"/>
  <c r="G71" i="3" s="1"/>
  <c r="H69" i="3" a="1"/>
  <c r="H69" i="3" s="1"/>
  <c r="G63" i="3" a="1"/>
  <c r="G63" i="3" s="1"/>
  <c r="H61" i="3" a="1"/>
  <c r="H61" i="3" s="1"/>
  <c r="H158" i="3" a="1"/>
  <c r="H158" i="3" s="1"/>
  <c r="G126" i="3" a="1"/>
  <c r="G126" i="3" s="1"/>
  <c r="H124" i="3" a="1"/>
  <c r="H124" i="3" s="1"/>
  <c r="G118" i="3" a="1"/>
  <c r="G118" i="3" s="1"/>
  <c r="H116" i="3" a="1"/>
  <c r="H116" i="3" s="1"/>
  <c r="G110" i="3" a="1"/>
  <c r="G110" i="3" s="1"/>
  <c r="H108" i="3" a="1"/>
  <c r="H108" i="3" s="1"/>
  <c r="G102" i="3" a="1"/>
  <c r="G102" i="3" s="1"/>
  <c r="H100" i="3" a="1"/>
  <c r="H100" i="3" s="1"/>
  <c r="G94" i="3" a="1"/>
  <c r="G94" i="3" s="1"/>
  <c r="H92" i="3" a="1"/>
  <c r="H92" i="3" s="1"/>
  <c r="G86" i="3" a="1"/>
  <c r="G86" i="3" s="1"/>
  <c r="H84" i="3" a="1"/>
  <c r="H84" i="3" s="1"/>
  <c r="G78" i="3" a="1"/>
  <c r="G78" i="3" s="1"/>
  <c r="H76" i="3" a="1"/>
  <c r="H76" i="3" s="1"/>
  <c r="G70" i="3" a="1"/>
  <c r="G70" i="3" s="1"/>
  <c r="H68" i="3" a="1"/>
  <c r="H68" i="3" s="1"/>
  <c r="G62" i="3" a="1"/>
  <c r="G62" i="3" s="1"/>
  <c r="H60" i="3" a="1"/>
  <c r="H60" i="3" s="1"/>
  <c r="G54" i="3" a="1"/>
  <c r="G54" i="3" s="1"/>
  <c r="H52" i="3" a="1"/>
  <c r="H52" i="3" s="1"/>
  <c r="G46" i="3" a="1"/>
  <c r="G46" i="3" s="1"/>
  <c r="H57" i="3" a="1"/>
  <c r="H57" i="3" s="1"/>
  <c r="H48" i="3" a="1"/>
  <c r="H48" i="3" s="1"/>
  <c r="G24" i="3" a="1"/>
  <c r="G24" i="3" s="1"/>
  <c r="G23" i="3" a="1"/>
  <c r="G23" i="3" s="1"/>
  <c r="H21" i="3" a="1"/>
  <c r="H21" i="3" s="1"/>
  <c r="G11" i="3" a="1"/>
  <c r="G11" i="3" s="1"/>
  <c r="H9" i="3" a="1"/>
  <c r="H9" i="3" s="1"/>
  <c r="G42" i="3" a="1"/>
  <c r="G42" i="3" s="1"/>
  <c r="G38" i="3" a="1"/>
  <c r="G38" i="3" s="1"/>
  <c r="G34" i="3" a="1"/>
  <c r="G34" i="3" s="1"/>
  <c r="H30" i="3" a="1"/>
  <c r="H30" i="3" s="1"/>
  <c r="H29" i="3" a="1"/>
  <c r="H29" i="3" s="1"/>
  <c r="H28" i="3" a="1"/>
  <c r="H28" i="3" s="1"/>
  <c r="G27" i="3" a="1"/>
  <c r="G27" i="3" s="1"/>
  <c r="H49" i="3" a="1"/>
  <c r="H49" i="3" s="1"/>
  <c r="G28" i="3" a="1"/>
  <c r="G28" i="3" s="1"/>
  <c r="G21" i="3" a="1"/>
  <c r="G21" i="3" s="1"/>
  <c r="H15" i="3" a="1"/>
  <c r="H15" i="3" s="1"/>
  <c r="G9" i="3" a="1"/>
  <c r="G9" i="3" s="1"/>
  <c r="G66" i="3" a="1"/>
  <c r="G66" i="3" s="1"/>
  <c r="G58" i="3" a="1"/>
  <c r="G58" i="3" s="1"/>
  <c r="G55" i="3" a="1"/>
  <c r="G55" i="3" s="1"/>
  <c r="G43" i="3" a="1"/>
  <c r="G43" i="3" s="1"/>
  <c r="G39" i="3" a="1"/>
  <c r="G39" i="3" s="1"/>
  <c r="H64" i="3" a="1"/>
  <c r="H64" i="3" s="1"/>
  <c r="H53" i="3" a="1"/>
  <c r="H53" i="3" s="1"/>
  <c r="G15" i="3" a="1"/>
  <c r="G15" i="3" s="1"/>
  <c r="H13" i="3" a="1"/>
  <c r="H13" i="3" s="1"/>
  <c r="G7" i="3" a="1"/>
  <c r="G7" i="3" s="1"/>
  <c r="H5" i="3" a="1"/>
  <c r="H5" i="3" s="1"/>
  <c r="G50" i="3" a="1"/>
  <c r="G50" i="3" s="1"/>
  <c r="G47" i="3" a="1"/>
  <c r="G47" i="3" s="1"/>
  <c r="H44" i="3" a="1"/>
  <c r="H44" i="3" s="1"/>
  <c r="H40" i="3" a="1"/>
  <c r="H40" i="3" s="1"/>
  <c r="H36" i="3" a="1"/>
  <c r="H36" i="3" s="1"/>
  <c r="H32" i="3" a="1"/>
  <c r="H32" i="3" s="1"/>
  <c r="G14" i="3" a="1"/>
  <c r="G14" i="3" s="1"/>
  <c r="H56" i="3" a="1"/>
  <c r="H56" i="3" s="1"/>
  <c r="H45" i="3" a="1"/>
  <c r="H45" i="3" s="1"/>
  <c r="H41" i="3" a="1"/>
  <c r="H41" i="3" s="1"/>
  <c r="H37" i="3" a="1"/>
  <c r="H37" i="3" s="1"/>
  <c r="H33" i="3" a="1"/>
  <c r="H33" i="3" s="1"/>
  <c r="G51" i="3" a="1"/>
  <c r="G51" i="3" s="1"/>
  <c r="H26" i="3" a="1"/>
  <c r="H26" i="3" s="1"/>
  <c r="H25" i="3" a="1"/>
  <c r="H25" i="3" s="1"/>
  <c r="H24" i="3" a="1"/>
  <c r="H24" i="3" s="1"/>
  <c r="H22" i="3" a="1"/>
  <c r="H22" i="3" s="1"/>
  <c r="G35" i="3" a="1"/>
  <c r="G35" i="3" s="1"/>
  <c r="G18" i="3" a="1"/>
  <c r="G18" i="3" s="1"/>
  <c r="H10" i="3" a="1"/>
  <c r="H10" i="3" s="1"/>
  <c r="H16" i="3" a="1"/>
  <c r="H16" i="3" s="1"/>
  <c r="H11" i="3" a="1"/>
  <c r="H11" i="3" s="1"/>
  <c r="G10" i="3" a="1"/>
  <c r="G10" i="3" s="1"/>
  <c r="G22" i="3" a="1"/>
  <c r="G22" i="3" s="1"/>
  <c r="H19" i="3" a="1"/>
  <c r="H19" i="3" s="1"/>
  <c r="G16" i="3" a="1"/>
  <c r="G16" i="3" s="1"/>
  <c r="G30" i="3" a="1"/>
  <c r="G30" i="3" s="1"/>
  <c r="G19" i="3" a="1"/>
  <c r="G19" i="3" s="1"/>
  <c r="H17" i="3" a="1"/>
  <c r="H17" i="3" s="1"/>
  <c r="G13" i="3" a="1"/>
  <c r="G13" i="3" s="1"/>
  <c r="G12" i="3" a="1"/>
  <c r="G12" i="3" s="1"/>
  <c r="G26" i="3" a="1"/>
  <c r="G26" i="3" s="1"/>
  <c r="H20" i="3" a="1"/>
  <c r="H20" i="3" s="1"/>
  <c r="H14" i="3" a="1"/>
  <c r="H14" i="3" s="1"/>
  <c r="G20" i="3" a="1"/>
  <c r="G20" i="3" s="1"/>
  <c r="G8" i="3" a="1"/>
  <c r="G8" i="3" s="1"/>
  <c r="G4" i="3" a="1"/>
  <c r="G4" i="3" s="1"/>
  <c r="G31" i="3" a="1"/>
  <c r="G31" i="3" s="1"/>
  <c r="H18" i="3" a="1"/>
  <c r="H18" i="3" s="1"/>
  <c r="H4" i="3" a="1"/>
  <c r="H4" i="3" s="1"/>
  <c r="H12" i="3" a="1"/>
  <c r="H12" i="3" s="1"/>
  <c r="H6" i="3" a="1"/>
  <c r="H6" i="3" s="1"/>
  <c r="H8" i="3" a="1"/>
  <c r="H8" i="3" s="1"/>
  <c r="G5" i="3" a="1"/>
  <c r="G5" i="3" s="1"/>
  <c r="G6" i="3" a="1"/>
  <c r="G6" i="3" s="1"/>
  <c r="H3" i="3" a="1"/>
  <c r="H3" i="3" s="1"/>
  <c r="H7" i="3" a="1"/>
  <c r="H7" i="3" s="1"/>
  <c r="H2" i="3" a="1"/>
  <c r="H2" i="3" s="1"/>
  <c r="G2" i="3" a="1"/>
  <c r="G2" i="3" s="1"/>
  <c r="G3" i="3" a="1"/>
  <c r="G3" i="3" s="1"/>
  <c r="X4" i="1"/>
  <c r="Z4" i="1" s="1"/>
  <c r="AH4" i="1"/>
  <c r="AH14" i="1"/>
  <c r="AH24" i="1"/>
  <c r="AH35" i="1"/>
  <c r="AH46" i="1"/>
  <c r="AH56" i="1"/>
  <c r="AH67" i="1"/>
  <c r="AH78" i="1"/>
  <c r="AH88" i="1"/>
  <c r="AH99" i="1"/>
  <c r="AH110" i="1"/>
  <c r="AH120" i="1"/>
  <c r="AH131" i="1"/>
  <c r="AH142" i="1"/>
  <c r="AH152" i="1"/>
  <c r="AH163" i="1"/>
  <c r="AH175" i="1"/>
  <c r="AH188" i="1"/>
  <c r="AH204" i="1"/>
  <c r="AH218" i="1"/>
  <c r="AH231" i="1"/>
  <c r="AH249" i="1"/>
  <c r="AH241" i="1"/>
  <c r="AH233" i="1"/>
  <c r="AH225" i="1"/>
  <c r="AH217" i="1"/>
  <c r="AH209" i="1"/>
  <c r="AH201" i="1"/>
  <c r="AH193" i="1"/>
  <c r="AH185" i="1"/>
  <c r="AH177" i="1"/>
  <c r="AH169" i="1"/>
  <c r="AH161" i="1"/>
  <c r="AH153" i="1"/>
  <c r="AH145" i="1"/>
  <c r="AH137" i="1"/>
  <c r="AH129" i="1"/>
  <c r="AH121" i="1"/>
  <c r="AH113" i="1"/>
  <c r="AH105" i="1"/>
  <c r="AH97" i="1"/>
  <c r="AH89" i="1"/>
  <c r="AH81" i="1"/>
  <c r="AH73" i="1"/>
  <c r="AH65" i="1"/>
  <c r="AH57" i="1"/>
  <c r="AH49" i="1"/>
  <c r="AH41" i="1"/>
  <c r="AH33" i="1"/>
  <c r="AH25" i="1"/>
  <c r="AH17" i="1"/>
  <c r="AH9" i="1"/>
  <c r="AH253" i="1"/>
  <c r="AH245" i="1"/>
  <c r="AH237" i="1"/>
  <c r="AH229" i="1"/>
  <c r="AH221" i="1"/>
  <c r="AH213" i="1"/>
  <c r="AH205" i="1"/>
  <c r="AH197" i="1"/>
  <c r="AH189" i="1"/>
  <c r="AH181" i="1"/>
  <c r="AH173" i="1"/>
  <c r="AH165" i="1"/>
  <c r="AH157" i="1"/>
  <c r="AH149" i="1"/>
  <c r="AH141" i="1"/>
  <c r="AH133" i="1"/>
  <c r="AH125" i="1"/>
  <c r="AH117" i="1"/>
  <c r="AH109" i="1"/>
  <c r="AH101" i="1"/>
  <c r="AH93" i="1"/>
  <c r="AH85" i="1"/>
  <c r="AH77" i="1"/>
  <c r="AH69" i="1"/>
  <c r="AH61" i="1"/>
  <c r="AH53" i="1"/>
  <c r="AH45" i="1"/>
  <c r="AH37" i="1"/>
  <c r="AH29" i="1"/>
  <c r="AH21" i="1"/>
  <c r="AH13" i="1"/>
  <c r="AH5" i="1"/>
  <c r="AH248" i="1"/>
  <c r="AH246" i="1"/>
  <c r="AH235" i="1"/>
  <c r="AH224" i="1"/>
  <c r="AH214" i="1"/>
  <c r="AH203" i="1"/>
  <c r="AH192" i="1"/>
  <c r="AH182" i="1"/>
  <c r="AH243" i="1"/>
  <c r="AH232" i="1"/>
  <c r="AH222" i="1"/>
  <c r="AH211" i="1"/>
  <c r="AH200" i="1"/>
  <c r="AH190" i="1"/>
  <c r="AH179" i="1"/>
  <c r="AH168" i="1"/>
  <c r="AH15" i="1"/>
  <c r="AH26" i="1"/>
  <c r="AH36" i="1"/>
  <c r="AH47" i="1"/>
  <c r="AH58" i="1"/>
  <c r="AH68" i="1"/>
  <c r="AH79" i="1"/>
  <c r="AH90" i="1"/>
  <c r="AH100" i="1"/>
  <c r="AH111" i="1"/>
  <c r="AH122" i="1"/>
  <c r="AH132" i="1"/>
  <c r="AH143" i="1"/>
  <c r="AH154" i="1"/>
  <c r="AH164" i="1"/>
  <c r="AH176" i="1"/>
  <c r="AH191" i="1"/>
  <c r="AH206" i="1"/>
  <c r="AH219" i="1"/>
  <c r="AH234" i="1"/>
  <c r="AH250" i="1"/>
  <c r="AS7" i="1"/>
  <c r="AS24" i="1"/>
  <c r="AS42" i="1"/>
  <c r="AS58" i="1"/>
  <c r="AS77" i="1"/>
  <c r="AS93" i="1"/>
  <c r="AS110" i="1"/>
  <c r="AS127" i="1"/>
  <c r="AS143" i="1"/>
  <c r="AS162" i="1"/>
  <c r="AS178" i="1"/>
  <c r="AS196" i="1"/>
  <c r="AS13" i="1"/>
  <c r="AS29" i="1"/>
  <c r="AS46" i="1"/>
  <c r="AS63" i="1"/>
  <c r="AS79" i="1"/>
  <c r="AS98" i="1"/>
  <c r="AS114" i="1"/>
  <c r="AS132" i="1"/>
  <c r="AS149" i="1"/>
  <c r="AS165" i="1"/>
  <c r="AS183" i="1"/>
  <c r="AS199" i="1"/>
  <c r="AS14" i="1"/>
  <c r="AS31" i="1"/>
  <c r="AS47" i="1"/>
  <c r="AS66" i="1"/>
  <c r="AS82" i="1"/>
  <c r="AS100" i="1"/>
  <c r="AS117" i="1"/>
  <c r="AS133" i="1"/>
  <c r="AS151" i="1"/>
  <c r="AS167" i="1"/>
  <c r="AS184" i="1"/>
  <c r="AS202" i="1"/>
  <c r="AS15" i="1"/>
  <c r="AS34" i="1"/>
  <c r="AS50" i="1"/>
  <c r="AS68" i="1"/>
  <c r="AS85" i="1"/>
  <c r="AS101" i="1"/>
  <c r="AS119" i="1"/>
  <c r="AS135" i="1"/>
  <c r="AS152" i="1"/>
  <c r="AS170" i="1"/>
  <c r="AS186" i="1"/>
  <c r="AS18" i="1"/>
  <c r="AS36" i="1"/>
  <c r="AS53" i="1"/>
  <c r="AS69" i="1"/>
  <c r="AS87" i="1"/>
  <c r="AS103" i="1"/>
  <c r="AS120" i="1"/>
  <c r="AS138" i="1"/>
  <c r="AS154" i="1"/>
  <c r="AS173" i="1"/>
  <c r="AS203" i="1"/>
  <c r="AS195" i="1"/>
  <c r="AS187" i="1"/>
  <c r="AS179" i="1"/>
  <c r="AS171" i="1"/>
  <c r="AS163" i="1"/>
  <c r="AS155" i="1"/>
  <c r="AS147" i="1"/>
  <c r="AS139" i="1"/>
  <c r="AS131" i="1"/>
  <c r="AS123" i="1"/>
  <c r="AS115" i="1"/>
  <c r="AS107" i="1"/>
  <c r="AS99" i="1"/>
  <c r="AS91" i="1"/>
  <c r="AS83" i="1"/>
  <c r="AS75" i="1"/>
  <c r="AS67" i="1"/>
  <c r="AS59" i="1"/>
  <c r="AS51" i="1"/>
  <c r="AS43" i="1"/>
  <c r="AS35" i="1"/>
  <c r="AS27" i="1"/>
  <c r="AS19" i="1"/>
  <c r="AS11" i="1"/>
  <c r="AS4" i="1"/>
  <c r="AS201" i="1"/>
  <c r="AS193" i="1"/>
  <c r="AS185" i="1"/>
  <c r="AS177" i="1"/>
  <c r="AS169" i="1"/>
  <c r="AS161" i="1"/>
  <c r="AS153" i="1"/>
  <c r="AS145" i="1"/>
  <c r="AS137" i="1"/>
  <c r="AS129" i="1"/>
  <c r="AS121" i="1"/>
  <c r="AS113" i="1"/>
  <c r="AS105" i="1"/>
  <c r="AS97" i="1"/>
  <c r="AS89" i="1"/>
  <c r="AS81" i="1"/>
  <c r="AS73" i="1"/>
  <c r="AS65" i="1"/>
  <c r="AS57" i="1"/>
  <c r="AS49" i="1"/>
  <c r="AS41" i="1"/>
  <c r="AS33" i="1"/>
  <c r="AS25" i="1"/>
  <c r="AS17" i="1"/>
  <c r="AS9" i="1"/>
  <c r="AS192" i="1"/>
  <c r="AS182" i="1"/>
  <c r="AS172" i="1"/>
  <c r="AS160" i="1"/>
  <c r="AS150" i="1"/>
  <c r="AS140" i="1"/>
  <c r="AS128" i="1"/>
  <c r="AS118" i="1"/>
  <c r="AS108" i="1"/>
  <c r="AS96" i="1"/>
  <c r="AS86" i="1"/>
  <c r="AS76" i="1"/>
  <c r="AS64" i="1"/>
  <c r="AS54" i="1"/>
  <c r="AS44" i="1"/>
  <c r="AS32" i="1"/>
  <c r="AS22" i="1"/>
  <c r="AS12" i="1"/>
  <c r="AS200" i="1"/>
  <c r="AS190" i="1"/>
  <c r="AS180" i="1"/>
  <c r="AS168" i="1"/>
  <c r="AS158" i="1"/>
  <c r="AS148" i="1"/>
  <c r="AS136" i="1"/>
  <c r="AS126" i="1"/>
  <c r="AS116" i="1"/>
  <c r="AS104" i="1"/>
  <c r="AS94" i="1"/>
  <c r="AS84" i="1"/>
  <c r="AS72" i="1"/>
  <c r="AS62" i="1"/>
  <c r="AS52" i="1"/>
  <c r="AS40" i="1"/>
  <c r="AS30" i="1"/>
  <c r="AS20" i="1"/>
  <c r="AS8" i="1"/>
  <c r="AS198" i="1"/>
  <c r="AS188" i="1"/>
  <c r="AS176" i="1"/>
  <c r="AS166" i="1"/>
  <c r="AS156" i="1"/>
  <c r="AS144" i="1"/>
  <c r="AS134" i="1"/>
  <c r="AS124" i="1"/>
  <c r="AS112" i="1"/>
  <c r="AS102" i="1"/>
  <c r="AS92" i="1"/>
  <c r="AS80" i="1"/>
  <c r="AS70" i="1"/>
  <c r="AS60" i="1"/>
  <c r="AS48" i="1"/>
  <c r="AS38" i="1"/>
  <c r="AS28" i="1"/>
  <c r="AS16" i="1"/>
  <c r="AS6" i="1"/>
  <c r="AS21" i="1"/>
  <c r="AS37" i="1"/>
  <c r="AS55" i="1"/>
  <c r="AS71" i="1"/>
  <c r="AS88" i="1"/>
  <c r="AS106" i="1"/>
  <c r="AS122" i="1"/>
  <c r="AS141" i="1"/>
  <c r="AS157" i="1"/>
  <c r="AS174" i="1"/>
  <c r="AS191" i="1"/>
  <c r="AS5" i="1"/>
  <c r="AS23" i="1"/>
  <c r="AS39" i="1"/>
  <c r="AS56" i="1"/>
  <c r="AS74" i="1"/>
  <c r="AS90" i="1"/>
  <c r="AS109" i="1"/>
  <c r="AS125" i="1"/>
  <c r="AS142" i="1"/>
  <c r="AS159" i="1"/>
  <c r="AS175" i="1"/>
  <c r="AS194" i="1"/>
  <c r="AT202" i="1"/>
  <c r="AT194" i="1"/>
  <c r="AT195" i="1"/>
  <c r="AT186" i="1"/>
  <c r="AT178" i="1"/>
  <c r="AT170" i="1"/>
  <c r="AT162" i="1"/>
  <c r="AT154" i="1"/>
  <c r="AT146" i="1"/>
  <c r="AT138" i="1"/>
  <c r="AT130" i="1"/>
  <c r="AT122" i="1"/>
  <c r="AT114" i="1"/>
  <c r="AT106" i="1"/>
  <c r="AT98" i="1"/>
  <c r="AT90" i="1"/>
  <c r="AT82" i="1"/>
  <c r="AT74" i="1"/>
  <c r="AT66" i="1"/>
  <c r="AT58" i="1"/>
  <c r="AT50" i="1"/>
  <c r="AT42" i="1"/>
  <c r="AT34" i="1"/>
  <c r="AT26" i="1"/>
  <c r="AT18" i="1"/>
  <c r="AT10" i="1"/>
  <c r="AT201" i="1"/>
  <c r="AT192" i="1"/>
  <c r="AT184" i="1"/>
  <c r="AT176" i="1"/>
  <c r="AT168" i="1"/>
  <c r="AT160" i="1"/>
  <c r="AT152" i="1"/>
  <c r="AT144" i="1"/>
  <c r="AT136" i="1"/>
  <c r="AT128" i="1"/>
  <c r="AT120" i="1"/>
  <c r="AT112" i="1"/>
  <c r="AT104" i="1"/>
  <c r="AT96" i="1"/>
  <c r="AT88" i="1"/>
  <c r="AT80" i="1"/>
  <c r="AT72" i="1"/>
  <c r="AT64" i="1"/>
  <c r="AT56" i="1"/>
  <c r="AT48" i="1"/>
  <c r="AT40" i="1"/>
  <c r="AT32" i="1"/>
  <c r="AT24" i="1"/>
  <c r="AT16" i="1"/>
  <c r="AT8" i="1"/>
  <c r="AT14" i="1"/>
  <c r="AT25" i="1"/>
  <c r="AT36" i="1"/>
  <c r="AT46" i="1"/>
  <c r="AT57" i="1"/>
  <c r="AT68" i="1"/>
  <c r="AT78" i="1"/>
  <c r="AT89" i="1"/>
  <c r="AT100" i="1"/>
  <c r="AT110" i="1"/>
  <c r="AT121" i="1"/>
  <c r="AT132" i="1"/>
  <c r="AT142" i="1"/>
  <c r="AT153" i="1"/>
  <c r="AT164" i="1"/>
  <c r="AT174" i="1"/>
  <c r="AT185" i="1"/>
  <c r="AT197" i="1"/>
  <c r="AU7" i="1"/>
  <c r="AU20" i="1"/>
  <c r="AU32" i="1"/>
  <c r="AU44" i="1"/>
  <c r="AU56" i="1"/>
  <c r="AU69" i="1"/>
  <c r="AU80" i="1"/>
  <c r="AU93" i="1"/>
  <c r="AU106" i="1"/>
  <c r="AU117" i="1"/>
  <c r="AU130" i="1"/>
  <c r="AU142" i="1"/>
  <c r="AU156" i="1"/>
  <c r="AU170" i="1"/>
  <c r="AU184" i="1"/>
  <c r="AU197" i="1"/>
  <c r="Z8" i="1"/>
  <c r="W46" i="1"/>
  <c r="X7" i="1"/>
  <c r="AT7" i="1"/>
  <c r="AT19" i="1"/>
  <c r="AT29" i="1"/>
  <c r="AT39" i="1"/>
  <c r="AT51" i="1"/>
  <c r="AT61" i="1"/>
  <c r="AT71" i="1"/>
  <c r="AT83" i="1"/>
  <c r="AT93" i="1"/>
  <c r="AT103" i="1"/>
  <c r="AT115" i="1"/>
  <c r="AT125" i="1"/>
  <c r="AT135" i="1"/>
  <c r="AT147" i="1"/>
  <c r="AT157" i="1"/>
  <c r="AT167" i="1"/>
  <c r="AT179" i="1"/>
  <c r="AT189" i="1"/>
  <c r="AT200" i="1"/>
  <c r="AU13" i="1"/>
  <c r="AU24" i="1"/>
  <c r="AU36" i="1"/>
  <c r="AU50" i="1"/>
  <c r="AU61" i="1"/>
  <c r="AU72" i="1"/>
  <c r="AU86" i="1"/>
  <c r="AU98" i="1"/>
  <c r="AU109" i="1"/>
  <c r="AU123" i="1"/>
  <c r="AU134" i="1"/>
  <c r="AU147" i="1"/>
  <c r="AU162" i="1"/>
  <c r="AU175" i="1"/>
  <c r="AT11" i="1"/>
  <c r="AT21" i="1"/>
  <c r="AT31" i="1"/>
  <c r="AT43" i="1"/>
  <c r="AT53" i="1"/>
  <c r="AT63" i="1"/>
  <c r="AT75" i="1"/>
  <c r="AT85" i="1"/>
  <c r="AT95" i="1"/>
  <c r="AT107" i="1"/>
  <c r="AT117" i="1"/>
  <c r="AT127" i="1"/>
  <c r="AT139" i="1"/>
  <c r="AT149" i="1"/>
  <c r="AT159" i="1"/>
  <c r="AT171" i="1"/>
  <c r="AT181" i="1"/>
  <c r="AT191" i="1"/>
  <c r="AU201" i="1"/>
  <c r="AU193" i="1"/>
  <c r="AU185" i="1"/>
  <c r="AU177" i="1"/>
  <c r="AU169" i="1"/>
  <c r="AU161" i="1"/>
  <c r="AU153" i="1"/>
  <c r="AU145" i="1"/>
  <c r="AU137" i="1"/>
  <c r="AU129" i="1"/>
  <c r="AU121" i="1"/>
  <c r="AU113" i="1"/>
  <c r="AU105" i="1"/>
  <c r="AU97" i="1"/>
  <c r="AU89" i="1"/>
  <c r="AU81" i="1"/>
  <c r="AU73" i="1"/>
  <c r="AU65" i="1"/>
  <c r="AU57" i="1"/>
  <c r="AU49" i="1"/>
  <c r="AU41" i="1"/>
  <c r="AU33" i="1"/>
  <c r="AU25" i="1"/>
  <c r="AU17" i="1"/>
  <c r="AU9" i="1"/>
  <c r="AU199" i="1"/>
  <c r="AU190" i="1"/>
  <c r="AU181" i="1"/>
  <c r="AU172" i="1"/>
  <c r="AU163" i="1"/>
  <c r="AU154" i="1"/>
  <c r="AU144" i="1"/>
  <c r="AU203" i="1"/>
  <c r="AU192" i="1"/>
  <c r="AU182" i="1"/>
  <c r="AU171" i="1"/>
  <c r="AU160" i="1"/>
  <c r="AU150" i="1"/>
  <c r="AU140" i="1"/>
  <c r="AU131" i="1"/>
  <c r="AU122" i="1"/>
  <c r="AU112" i="1"/>
  <c r="AU103" i="1"/>
  <c r="AU94" i="1"/>
  <c r="AU85" i="1"/>
  <c r="AU76" i="1"/>
  <c r="AU67" i="1"/>
  <c r="AU58" i="1"/>
  <c r="AU48" i="1"/>
  <c r="AU39" i="1"/>
  <c r="AU30" i="1"/>
  <c r="AU21" i="1"/>
  <c r="AU12" i="1"/>
  <c r="AU4" i="1"/>
  <c r="AU200" i="1"/>
  <c r="AU189" i="1"/>
  <c r="AU179" i="1"/>
  <c r="AU168" i="1"/>
  <c r="AU158" i="1"/>
  <c r="AU148" i="1"/>
  <c r="AU138" i="1"/>
  <c r="AU128" i="1"/>
  <c r="AU119" i="1"/>
  <c r="AU110" i="1"/>
  <c r="AU101" i="1"/>
  <c r="AU92" i="1"/>
  <c r="AU83" i="1"/>
  <c r="AU74" i="1"/>
  <c r="AU64" i="1"/>
  <c r="AU55" i="1"/>
  <c r="AU46" i="1"/>
  <c r="AU37" i="1"/>
  <c r="AU28" i="1"/>
  <c r="AU19" i="1"/>
  <c r="AU10" i="1"/>
  <c r="AU15" i="1"/>
  <c r="AU27" i="1"/>
  <c r="AU40" i="1"/>
  <c r="AU52" i="1"/>
  <c r="AU63" i="1"/>
  <c r="AU77" i="1"/>
  <c r="AU88" i="1"/>
  <c r="AU100" i="1"/>
  <c r="AU114" i="1"/>
  <c r="AU125" i="1"/>
  <c r="AU136" i="1"/>
  <c r="AU151" i="1"/>
  <c r="AU165" i="1"/>
  <c r="AU178" i="1"/>
  <c r="AU194" i="1"/>
  <c r="AT54" i="1"/>
  <c r="AT65" i="1"/>
  <c r="AT76" i="1"/>
  <c r="AT86" i="1"/>
  <c r="AT97" i="1"/>
  <c r="AT108" i="1"/>
  <c r="AT118" i="1"/>
  <c r="AT129" i="1"/>
  <c r="AT140" i="1"/>
  <c r="AT150" i="1"/>
  <c r="AT161" i="1"/>
  <c r="AT172" i="1"/>
  <c r="AT182" i="1"/>
  <c r="AT193" i="1"/>
  <c r="AT4" i="1"/>
  <c r="AT13" i="1"/>
  <c r="AT23" i="1"/>
  <c r="AT35" i="1"/>
  <c r="AT45" i="1"/>
  <c r="AT55" i="1"/>
  <c r="AT67" i="1"/>
  <c r="AT77" i="1"/>
  <c r="AT87" i="1"/>
  <c r="AT99" i="1"/>
  <c r="AT109" i="1"/>
  <c r="AT119" i="1"/>
  <c r="AT131" i="1"/>
  <c r="AT141" i="1"/>
  <c r="AT151" i="1"/>
  <c r="AT163" i="1"/>
  <c r="AT173" i="1"/>
  <c r="AT183" i="1"/>
  <c r="AT196" i="1"/>
  <c r="AU6" i="1"/>
  <c r="AU18" i="1"/>
  <c r="AU31" i="1"/>
  <c r="AU43" i="1"/>
  <c r="AU54" i="1"/>
  <c r="AU68" i="1"/>
  <c r="AU79" i="1"/>
  <c r="AU91" i="1"/>
  <c r="AU104" i="1"/>
  <c r="AU116" i="1"/>
  <c r="AU127" i="1"/>
  <c r="AU141" i="1"/>
  <c r="AU155" i="1"/>
  <c r="AU167" i="1"/>
  <c r="AU183" i="1"/>
  <c r="AU196" i="1"/>
  <c r="W42" i="1"/>
  <c r="BA17" i="1" a="1"/>
  <c r="BA17" i="1" s="1"/>
  <c r="X19" i="1"/>
  <c r="AZ58" i="1" a="1"/>
  <c r="AZ58" i="1" s="1"/>
  <c r="X9" i="1"/>
  <c r="X24" i="1"/>
  <c r="BA106" i="1" a="1"/>
  <c r="BA106" i="1" s="1"/>
  <c r="R32" i="1"/>
  <c r="BA67" i="1" a="1"/>
  <c r="BA67" i="1" s="1"/>
  <c r="BA97" i="1" a="1"/>
  <c r="BA97" i="1" s="1"/>
  <c r="BA105" i="1" a="1"/>
  <c r="BA105" i="1" s="1"/>
  <c r="BA27" i="1" a="1"/>
  <c r="BA27" i="1" s="1"/>
  <c r="Q20" i="1"/>
  <c r="BA16" i="1" a="1"/>
  <c r="BA16" i="1" s="1"/>
  <c r="BA24" i="1" a="1"/>
  <c r="BA24" i="1" s="1"/>
  <c r="Q24" i="1"/>
  <c r="Q18" i="1"/>
  <c r="AC13" i="1"/>
  <c r="Q12" i="1"/>
  <c r="Q7" i="1"/>
  <c r="Q11" i="1"/>
  <c r="Q5" i="1"/>
  <c r="BA39" i="1" a="1"/>
  <c r="BA39" i="1" s="1"/>
  <c r="AZ161" i="1" a="1"/>
  <c r="AZ161" i="1" s="1"/>
  <c r="AZ35" i="1" a="1"/>
  <c r="AZ35" i="1" s="1"/>
  <c r="AR10" i="1"/>
  <c r="AR18" i="1"/>
  <c r="AR26" i="1"/>
  <c r="AR34" i="1"/>
  <c r="AR42" i="1"/>
  <c r="AR50" i="1"/>
  <c r="AR58" i="1"/>
  <c r="AR66" i="1"/>
  <c r="AR74" i="1"/>
  <c r="AR82" i="1"/>
  <c r="AR90" i="1"/>
  <c r="AR98" i="1"/>
  <c r="AR106" i="1"/>
  <c r="AR114" i="1"/>
  <c r="AR122" i="1"/>
  <c r="AR130" i="1"/>
  <c r="AR138" i="1"/>
  <c r="AR146" i="1"/>
  <c r="AR154" i="1"/>
  <c r="AR162" i="1"/>
  <c r="AR170" i="1"/>
  <c r="AR178" i="1"/>
  <c r="AR186" i="1"/>
  <c r="AR194" i="1"/>
  <c r="AR202" i="1"/>
  <c r="BA29" i="1" a="1"/>
  <c r="BA29" i="1" s="1"/>
  <c r="BA74" i="1" a="1"/>
  <c r="BA74" i="1" s="1"/>
  <c r="BA155" i="1" a="1"/>
  <c r="BA155" i="1" s="1"/>
  <c r="BA42" i="1" a="1"/>
  <c r="BA42" i="1" s="1"/>
  <c r="AZ9" i="1" a="1"/>
  <c r="AZ9" i="1" s="1"/>
  <c r="AD35" i="1"/>
  <c r="R14" i="1"/>
  <c r="AZ8" i="1" a="1"/>
  <c r="AZ8" i="1" s="1"/>
  <c r="R35" i="1"/>
  <c r="AZ20" i="1" a="1"/>
  <c r="AZ20" i="1" s="1"/>
  <c r="R41" i="1"/>
  <c r="R31" i="1"/>
  <c r="AZ6" i="1" a="1"/>
  <c r="AZ6" i="1" s="1"/>
  <c r="AZ5" i="1" a="1"/>
  <c r="AZ5" i="1" s="1"/>
  <c r="BA85" i="1" a="1"/>
  <c r="BA85" i="1" s="1"/>
  <c r="AZ99" i="1" a="1"/>
  <c r="AZ99" i="1" s="1"/>
  <c r="AR12" i="1"/>
  <c r="AR20" i="1"/>
  <c r="AR28" i="1"/>
  <c r="AR36" i="1"/>
  <c r="AR44" i="1"/>
  <c r="AR52" i="1"/>
  <c r="AR60" i="1"/>
  <c r="AR68" i="1"/>
  <c r="AR76" i="1"/>
  <c r="AR84" i="1"/>
  <c r="AR92" i="1"/>
  <c r="AR100" i="1"/>
  <c r="AR108" i="1"/>
  <c r="AR116" i="1"/>
  <c r="AR124" i="1"/>
  <c r="AR132" i="1"/>
  <c r="AR140" i="1"/>
  <c r="AR148" i="1"/>
  <c r="AR156" i="1"/>
  <c r="AR164" i="1"/>
  <c r="AR172" i="1"/>
  <c r="AR180" i="1"/>
  <c r="AR188" i="1"/>
  <c r="BA11" i="1" a="1"/>
  <c r="BA11" i="1" s="1"/>
  <c r="AZ34" i="1" a="1"/>
  <c r="AZ34" i="1" s="1"/>
  <c r="AZ51" i="1" a="1"/>
  <c r="AZ51" i="1" s="1"/>
  <c r="AZ10" i="1" a="1"/>
  <c r="AZ10" i="1" s="1"/>
  <c r="BA19" i="1" a="1"/>
  <c r="BA19" i="1" s="1"/>
  <c r="X23" i="1"/>
  <c r="AZ25" i="1" a="1"/>
  <c r="AZ25" i="1" s="1"/>
  <c r="Q26" i="1"/>
  <c r="AZ26" i="1" a="1"/>
  <c r="AZ26" i="1" s="1"/>
  <c r="AC33" i="1"/>
  <c r="Q34" i="1"/>
  <c r="Q38" i="1"/>
  <c r="BA50" i="1" a="1"/>
  <c r="BA50" i="1" s="1"/>
  <c r="AZ87" i="1" a="1"/>
  <c r="AZ87" i="1" s="1"/>
  <c r="AZ88" i="1" a="1"/>
  <c r="AZ88" i="1" s="1"/>
  <c r="BA98" i="1" a="1"/>
  <c r="BA98" i="1" s="1"/>
  <c r="AZ137" i="1" a="1"/>
  <c r="AZ137" i="1" s="1"/>
  <c r="AZ163" i="1" a="1"/>
  <c r="AZ163" i="1" s="1"/>
  <c r="AZ17" i="1" a="1"/>
  <c r="AZ17" i="1" s="1"/>
  <c r="AZ18" i="1" a="1"/>
  <c r="AZ18" i="1" s="1"/>
  <c r="BA25" i="1" a="1"/>
  <c r="BA25" i="1" s="1"/>
  <c r="BA166" i="1" a="1"/>
  <c r="BA166" i="1" s="1"/>
  <c r="BA158" i="1" a="1"/>
  <c r="BA158" i="1" s="1"/>
  <c r="BA150" i="1" a="1"/>
  <c r="BA150" i="1" s="1"/>
  <c r="BA162" i="1" a="1"/>
  <c r="BA162" i="1" s="1"/>
  <c r="BA165" i="1" a="1"/>
  <c r="BA165" i="1" s="1"/>
  <c r="BA157" i="1" a="1"/>
  <c r="BA157" i="1" s="1"/>
  <c r="BA146" i="1" a="1"/>
  <c r="BA146" i="1" s="1"/>
  <c r="BA142" i="1" a="1"/>
  <c r="BA142" i="1" s="1"/>
  <c r="BA134" i="1" a="1"/>
  <c r="BA134" i="1" s="1"/>
  <c r="BA126" i="1" a="1"/>
  <c r="BA126" i="1" s="1"/>
  <c r="BA118" i="1" a="1"/>
  <c r="BA118" i="1" s="1"/>
  <c r="BA110" i="1" a="1"/>
  <c r="BA110" i="1" s="1"/>
  <c r="BA102" i="1" a="1"/>
  <c r="BA102" i="1" s="1"/>
  <c r="BA94" i="1" a="1"/>
  <c r="BA94" i="1" s="1"/>
  <c r="BA86" i="1" a="1"/>
  <c r="BA86" i="1" s="1"/>
  <c r="BA78" i="1" a="1"/>
  <c r="BA78" i="1" s="1"/>
  <c r="BA70" i="1" a="1"/>
  <c r="BA70" i="1" s="1"/>
  <c r="BA62" i="1" a="1"/>
  <c r="BA62" i="1" s="1"/>
  <c r="BA54" i="1" a="1"/>
  <c r="BA54" i="1" s="1"/>
  <c r="BA48" i="1" a="1"/>
  <c r="BA48" i="1" s="1"/>
  <c r="BA163" i="1" a="1"/>
  <c r="BA163" i="1" s="1"/>
  <c r="BA153" i="1" a="1"/>
  <c r="BA153" i="1" s="1"/>
  <c r="BA147" i="1" a="1"/>
  <c r="BA147" i="1" s="1"/>
  <c r="BA143" i="1" a="1"/>
  <c r="BA143" i="1" s="1"/>
  <c r="BA135" i="1" a="1"/>
  <c r="BA135" i="1" s="1"/>
  <c r="BA127" i="1" a="1"/>
  <c r="BA127" i="1" s="1"/>
  <c r="BA119" i="1" a="1"/>
  <c r="BA119" i="1" s="1"/>
  <c r="BA111" i="1" a="1"/>
  <c r="BA111" i="1" s="1"/>
  <c r="BA152" i="1" a="1"/>
  <c r="BA152" i="1" s="1"/>
  <c r="BA132" i="1" a="1"/>
  <c r="BA132" i="1" s="1"/>
  <c r="BA120" i="1" a="1"/>
  <c r="BA120" i="1" s="1"/>
  <c r="BA114" i="1" a="1"/>
  <c r="BA114" i="1" s="1"/>
  <c r="BA107" i="1" a="1"/>
  <c r="BA107" i="1" s="1"/>
  <c r="BA96" i="1" a="1"/>
  <c r="BA96" i="1" s="1"/>
  <c r="BA89" i="1" a="1"/>
  <c r="BA89" i="1" s="1"/>
  <c r="BA77" i="1" a="1"/>
  <c r="BA77" i="1" s="1"/>
  <c r="BA66" i="1" a="1"/>
  <c r="BA66" i="1" s="1"/>
  <c r="BA55" i="1" a="1"/>
  <c r="BA55" i="1" s="1"/>
  <c r="BA45" i="1" a="1"/>
  <c r="BA45" i="1" s="1"/>
  <c r="AC35" i="1"/>
  <c r="BA33" i="1" a="1"/>
  <c r="BA33" i="1" s="1"/>
  <c r="BA168" i="1" a="1"/>
  <c r="BA168" i="1" s="1"/>
  <c r="BA160" i="1" a="1"/>
  <c r="BA160" i="1" s="1"/>
  <c r="BA154" i="1" a="1"/>
  <c r="BA154" i="1" s="1"/>
  <c r="BA151" i="1" a="1"/>
  <c r="BA151" i="1" s="1"/>
  <c r="BA131" i="1" a="1"/>
  <c r="BA131" i="1" s="1"/>
  <c r="BA125" i="1" a="1"/>
  <c r="BA125" i="1" s="1"/>
  <c r="BA113" i="1" a="1"/>
  <c r="BA113" i="1" s="1"/>
  <c r="BA99" i="1" a="1"/>
  <c r="BA99" i="1" s="1"/>
  <c r="BA88" i="1" a="1"/>
  <c r="BA88" i="1" s="1"/>
  <c r="BA81" i="1" a="1"/>
  <c r="BA81" i="1" s="1"/>
  <c r="BA69" i="1" a="1"/>
  <c r="BA69" i="1" s="1"/>
  <c r="BA58" i="1" a="1"/>
  <c r="BA58" i="1" s="1"/>
  <c r="BA51" i="1" a="1"/>
  <c r="BA51" i="1" s="1"/>
  <c r="BA47" i="1" a="1"/>
  <c r="BA47" i="1" s="1"/>
  <c r="Q36" i="1"/>
  <c r="AC32" i="1"/>
  <c r="BA30" i="1" a="1"/>
  <c r="BA30" i="1" s="1"/>
  <c r="BA167" i="1" a="1"/>
  <c r="BA167" i="1" s="1"/>
  <c r="BA159" i="1" a="1"/>
  <c r="BA159" i="1" s="1"/>
  <c r="BA145" i="1" a="1"/>
  <c r="BA145" i="1" s="1"/>
  <c r="BA144" i="1" a="1"/>
  <c r="BA144" i="1" s="1"/>
  <c r="BA138" i="1" a="1"/>
  <c r="BA138" i="1" s="1"/>
  <c r="BA112" i="1" a="1"/>
  <c r="BA112" i="1" s="1"/>
  <c r="BA103" i="1" a="1"/>
  <c r="BA103" i="1" s="1"/>
  <c r="BA91" i="1" a="1"/>
  <c r="BA91" i="1" s="1"/>
  <c r="BA80" i="1" a="1"/>
  <c r="BA80" i="1" s="1"/>
  <c r="BA73" i="1" a="1"/>
  <c r="BA73" i="1" s="1"/>
  <c r="BA61" i="1" a="1"/>
  <c r="BA61" i="1" s="1"/>
  <c r="BA38" i="1" a="1"/>
  <c r="BA38" i="1" s="1"/>
  <c r="BA35" i="1" a="1"/>
  <c r="BA35" i="1" s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BA129" i="1" a="1"/>
  <c r="BA129" i="1" s="1"/>
  <c r="BA109" i="1" a="1"/>
  <c r="BA109" i="1" s="1"/>
  <c r="BA101" i="1" a="1"/>
  <c r="BA101" i="1" s="1"/>
  <c r="BA93" i="1" a="1"/>
  <c r="BA93" i="1" s="1"/>
  <c r="BA32" i="1" a="1"/>
  <c r="BA32" i="1" s="1"/>
  <c r="BA31" i="1" a="1"/>
  <c r="BA31" i="1" s="1"/>
  <c r="Q31" i="1"/>
  <c r="Q29" i="1"/>
  <c r="Q25" i="1"/>
  <c r="Q21" i="1"/>
  <c r="Q17" i="1"/>
  <c r="AC14" i="1"/>
  <c r="Q14" i="1"/>
  <c r="BA13" i="1" a="1"/>
  <c r="BA13" i="1" s="1"/>
  <c r="AC6" i="1"/>
  <c r="Q6" i="1"/>
  <c r="BA5" i="1" a="1"/>
  <c r="BA5" i="1" s="1"/>
  <c r="BA137" i="1" a="1"/>
  <c r="BA137" i="1" s="1"/>
  <c r="BA136" i="1" a="1"/>
  <c r="BA136" i="1" s="1"/>
  <c r="BA128" i="1" a="1"/>
  <c r="BA128" i="1" s="1"/>
  <c r="BA123" i="1" a="1"/>
  <c r="BA123" i="1" s="1"/>
  <c r="BA72" i="1" a="1"/>
  <c r="BA72" i="1" s="1"/>
  <c r="BA65" i="1" a="1"/>
  <c r="BA65" i="1" s="1"/>
  <c r="BA64" i="1" a="1"/>
  <c r="BA64" i="1" s="1"/>
  <c r="BA57" i="1" a="1"/>
  <c r="BA57" i="1" s="1"/>
  <c r="BA141" i="1" a="1"/>
  <c r="BA141" i="1" s="1"/>
  <c r="BA133" i="1" a="1"/>
  <c r="BA133" i="1" s="1"/>
  <c r="BA117" i="1" a="1"/>
  <c r="BA117" i="1" s="1"/>
  <c r="BA83" i="1" a="1"/>
  <c r="BA83" i="1" s="1"/>
  <c r="BA49" i="1" a="1"/>
  <c r="BA49" i="1" s="1"/>
  <c r="BA43" i="1" a="1"/>
  <c r="BA43" i="1" s="1"/>
  <c r="BA26" i="1" a="1"/>
  <c r="BA26" i="1" s="1"/>
  <c r="BA22" i="1" a="1"/>
  <c r="BA22" i="1" s="1"/>
  <c r="BA18" i="1" a="1"/>
  <c r="BA18" i="1" s="1"/>
  <c r="BA139" i="1" a="1"/>
  <c r="BA139" i="1" s="1"/>
  <c r="BA122" i="1" a="1"/>
  <c r="BA122" i="1" s="1"/>
  <c r="BA121" i="1" a="1"/>
  <c r="BA121" i="1" s="1"/>
  <c r="BA115" i="1" a="1"/>
  <c r="BA115" i="1" s="1"/>
  <c r="BA79" i="1" a="1"/>
  <c r="BA79" i="1" s="1"/>
  <c r="BA71" i="1" a="1"/>
  <c r="BA71" i="1" s="1"/>
  <c r="BA63" i="1" a="1"/>
  <c r="BA63" i="1" s="1"/>
  <c r="AC31" i="1"/>
  <c r="AC30" i="1"/>
  <c r="Q27" i="1"/>
  <c r="Q23" i="1"/>
  <c r="Q19" i="1"/>
  <c r="Q15" i="1"/>
  <c r="AC10" i="1"/>
  <c r="Q10" i="1"/>
  <c r="BA9" i="1" a="1"/>
  <c r="BA9" i="1" s="1"/>
  <c r="X29" i="1"/>
  <c r="AC34" i="1"/>
  <c r="BA37" i="1" a="1"/>
  <c r="BA37" i="1" s="1"/>
  <c r="BA40" i="1" a="1"/>
  <c r="BA40" i="1" s="1"/>
  <c r="Q41" i="1"/>
  <c r="AZ57" i="1" a="1"/>
  <c r="AZ57" i="1" s="1"/>
  <c r="BA87" i="1" a="1"/>
  <c r="BA87" i="1" s="1"/>
  <c r="AZ101" i="1" a="1"/>
  <c r="AZ101" i="1" s="1"/>
  <c r="BA130" i="1" a="1"/>
  <c r="BA130" i="1" s="1"/>
  <c r="BA149" i="1" a="1"/>
  <c r="BA149" i="1" s="1"/>
  <c r="BA76" i="1" a="1"/>
  <c r="BA76" i="1" s="1"/>
  <c r="AZ79" i="1" a="1"/>
  <c r="AZ79" i="1" s="1"/>
  <c r="AZ115" i="1" a="1"/>
  <c r="AZ115" i="1" s="1"/>
  <c r="AZ122" i="1" a="1"/>
  <c r="AZ122" i="1" s="1"/>
  <c r="AZ159" i="1" a="1"/>
  <c r="AZ159" i="1" s="1"/>
  <c r="BA34" i="1" a="1"/>
  <c r="BA34" i="1" s="1"/>
  <c r="BA41" i="1" a="1"/>
  <c r="BA41" i="1" s="1"/>
  <c r="Q42" i="1"/>
  <c r="AZ48" i="1" a="1"/>
  <c r="AZ48" i="1" s="1"/>
  <c r="BA53" i="1" a="1"/>
  <c r="BA53" i="1" s="1"/>
  <c r="BA56" i="1" a="1"/>
  <c r="BA56" i="1" s="1"/>
  <c r="AZ69" i="1" a="1"/>
  <c r="AZ69" i="1" s="1"/>
  <c r="BA90" i="1" a="1"/>
  <c r="BA90" i="1" s="1"/>
  <c r="BA104" i="1" a="1"/>
  <c r="BA104" i="1" s="1"/>
  <c r="AZ165" i="1" a="1"/>
  <c r="AZ165" i="1" s="1"/>
  <c r="X13" i="1"/>
  <c r="AZ31" i="1" a="1"/>
  <c r="AZ31" i="1" s="1"/>
  <c r="AC36" i="1"/>
  <c r="BA46" i="1" a="1"/>
  <c r="BA46" i="1" s="1"/>
  <c r="W47" i="1"/>
  <c r="BA59" i="1" a="1"/>
  <c r="BA59" i="1" s="1"/>
  <c r="AZ91" i="1" a="1"/>
  <c r="AZ91" i="1" s="1"/>
  <c r="AZ145" i="1" a="1"/>
  <c r="AZ145" i="1" s="1"/>
  <c r="AZ14" i="1" a="1"/>
  <c r="AZ14" i="1" s="1"/>
  <c r="X15" i="1"/>
  <c r="BA15" i="1" a="1"/>
  <c r="BA15" i="1" s="1"/>
  <c r="Q37" i="1"/>
  <c r="AZ156" i="1" a="1"/>
  <c r="AZ156" i="1" s="1"/>
  <c r="AZ167" i="1" a="1"/>
  <c r="AZ167" i="1" s="1"/>
  <c r="AZ155" i="1" a="1"/>
  <c r="AZ155" i="1" s="1"/>
  <c r="AZ166" i="1" a="1"/>
  <c r="AZ166" i="1" s="1"/>
  <c r="AZ162" i="1" a="1"/>
  <c r="AZ162" i="1" s="1"/>
  <c r="AZ158" i="1" a="1"/>
  <c r="AZ158" i="1" s="1"/>
  <c r="AZ151" i="1" a="1"/>
  <c r="AZ151" i="1" s="1"/>
  <c r="AZ160" i="1" a="1"/>
  <c r="AZ160" i="1" s="1"/>
  <c r="AZ152" i="1" a="1"/>
  <c r="AZ152" i="1" s="1"/>
  <c r="AZ146" i="1" a="1"/>
  <c r="AZ146" i="1" s="1"/>
  <c r="AZ140" i="1" a="1"/>
  <c r="AZ140" i="1" s="1"/>
  <c r="AZ124" i="1" a="1"/>
  <c r="AZ124" i="1" s="1"/>
  <c r="AZ108" i="1" a="1"/>
  <c r="AZ108" i="1" s="1"/>
  <c r="AZ43" i="1" a="1"/>
  <c r="AZ43" i="1" s="1"/>
  <c r="AZ168" i="1" a="1"/>
  <c r="AZ168" i="1" s="1"/>
  <c r="AZ154" i="1" a="1"/>
  <c r="AZ154" i="1" s="1"/>
  <c r="AZ141" i="1" a="1"/>
  <c r="AZ141" i="1" s="1"/>
  <c r="AZ133" i="1" a="1"/>
  <c r="AZ133" i="1" s="1"/>
  <c r="AZ125" i="1" a="1"/>
  <c r="AZ125" i="1" s="1"/>
  <c r="AZ117" i="1" a="1"/>
  <c r="AZ117" i="1" s="1"/>
  <c r="AZ109" i="1" a="1"/>
  <c r="AZ109" i="1" s="1"/>
  <c r="AZ157" i="1" a="1"/>
  <c r="AZ157" i="1" s="1"/>
  <c r="AZ128" i="1" a="1"/>
  <c r="AZ128" i="1" s="1"/>
  <c r="AZ121" i="1" a="1"/>
  <c r="AZ121" i="1" s="1"/>
  <c r="AZ97" i="1" a="1"/>
  <c r="AZ97" i="1" s="1"/>
  <c r="AZ93" i="1" a="1"/>
  <c r="AZ93" i="1" s="1"/>
  <c r="AZ82" i="1" a="1"/>
  <c r="AZ82" i="1" s="1"/>
  <c r="AZ78" i="1" a="1"/>
  <c r="AZ78" i="1" s="1"/>
  <c r="AZ71" i="1" a="1"/>
  <c r="AZ71" i="1" s="1"/>
  <c r="AZ59" i="1" a="1"/>
  <c r="AZ59" i="1" s="1"/>
  <c r="R36" i="1"/>
  <c r="AD32" i="1"/>
  <c r="AZ153" i="1" a="1"/>
  <c r="AZ153" i="1" s="1"/>
  <c r="AZ150" i="1" a="1"/>
  <c r="AZ150" i="1" s="1"/>
  <c r="AZ149" i="1" a="1"/>
  <c r="AZ149" i="1" s="1"/>
  <c r="AZ139" i="1" a="1"/>
  <c r="AZ139" i="1" s="1"/>
  <c r="AZ127" i="1" a="1"/>
  <c r="AZ127" i="1" s="1"/>
  <c r="AZ126" i="1" a="1"/>
  <c r="AZ126" i="1" s="1"/>
  <c r="AZ114" i="1" a="1"/>
  <c r="AZ114" i="1" s="1"/>
  <c r="AZ104" i="1" a="1"/>
  <c r="AZ104" i="1" s="1"/>
  <c r="AZ89" i="1" a="1"/>
  <c r="AZ89" i="1" s="1"/>
  <c r="AZ85" i="1" a="1"/>
  <c r="AZ85" i="1" s="1"/>
  <c r="AZ74" i="1" a="1"/>
  <c r="AZ74" i="1" s="1"/>
  <c r="AZ70" i="1" a="1"/>
  <c r="AZ70" i="1" s="1"/>
  <c r="AZ63" i="1" a="1"/>
  <c r="AZ63" i="1" s="1"/>
  <c r="AZ49" i="1" a="1"/>
  <c r="AZ49" i="1" s="1"/>
  <c r="AZ42" i="1" a="1"/>
  <c r="AZ42" i="1" s="1"/>
  <c r="AZ41" i="1" a="1"/>
  <c r="AZ41" i="1" s="1"/>
  <c r="AZ40" i="1" a="1"/>
  <c r="AZ40" i="1" s="1"/>
  <c r="AD37" i="1"/>
  <c r="R33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Z120" i="1" a="1"/>
  <c r="AZ120" i="1" s="1"/>
  <c r="AZ113" i="1" a="1"/>
  <c r="AZ113" i="1" s="1"/>
  <c r="AZ107" i="1" a="1"/>
  <c r="AZ107" i="1" s="1"/>
  <c r="AZ96" i="1" a="1"/>
  <c r="AZ96" i="1" s="1"/>
  <c r="AZ81" i="1" a="1"/>
  <c r="AZ81" i="1" s="1"/>
  <c r="AZ77" i="1" a="1"/>
  <c r="AZ77" i="1" s="1"/>
  <c r="AZ66" i="1" a="1"/>
  <c r="AZ66" i="1" s="1"/>
  <c r="AZ62" i="1" a="1"/>
  <c r="AZ62" i="1" s="1"/>
  <c r="AZ55" i="1" a="1"/>
  <c r="AZ55" i="1" s="1"/>
  <c r="AZ47" i="1" a="1"/>
  <c r="AZ47" i="1" s="1"/>
  <c r="AZ45" i="1" a="1"/>
  <c r="AZ45" i="1" s="1"/>
  <c r="AZ33" i="1" a="1"/>
  <c r="AZ33" i="1" s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AZ130" i="1" a="1"/>
  <c r="AZ130" i="1" s="1"/>
  <c r="AZ119" i="1" a="1"/>
  <c r="AZ119" i="1" s="1"/>
  <c r="AZ110" i="1" a="1"/>
  <c r="AZ110" i="1" s="1"/>
  <c r="AZ102" i="1" a="1"/>
  <c r="AZ102" i="1" s="1"/>
  <c r="AZ95" i="1" a="1"/>
  <c r="AZ95" i="1" s="1"/>
  <c r="AZ94" i="1" a="1"/>
  <c r="AZ94" i="1" s="1"/>
  <c r="AZ86" i="1" a="1"/>
  <c r="AZ86" i="1" s="1"/>
  <c r="AZ46" i="1" a="1"/>
  <c r="AZ46" i="1" s="1"/>
  <c r="R42" i="1"/>
  <c r="R40" i="1"/>
  <c r="AZ37" i="1" a="1"/>
  <c r="AZ37" i="1" s="1"/>
  <c r="AD36" i="1"/>
  <c r="AD33" i="1"/>
  <c r="AZ30" i="1" a="1"/>
  <c r="AZ30" i="1" s="1"/>
  <c r="R9" i="1"/>
  <c r="AZ7" i="1" a="1"/>
  <c r="AZ7" i="1" s="1"/>
  <c r="AZ147" i="1" a="1"/>
  <c r="AZ147" i="1" s="1"/>
  <c r="AZ129" i="1" a="1"/>
  <c r="AZ129" i="1" s="1"/>
  <c r="AZ112" i="1" a="1"/>
  <c r="AZ112" i="1" s="1"/>
  <c r="AZ111" i="1" a="1"/>
  <c r="AZ111" i="1" s="1"/>
  <c r="AZ106" i="1" a="1"/>
  <c r="AZ106" i="1" s="1"/>
  <c r="AZ103" i="1" a="1"/>
  <c r="AZ103" i="1" s="1"/>
  <c r="AZ98" i="1" a="1"/>
  <c r="AZ98" i="1" s="1"/>
  <c r="AZ90" i="1" a="1"/>
  <c r="AZ90" i="1" s="1"/>
  <c r="AZ61" i="1" a="1"/>
  <c r="AZ61" i="1" s="1"/>
  <c r="AZ54" i="1" a="1"/>
  <c r="AZ54" i="1" s="1"/>
  <c r="AZ53" i="1" a="1"/>
  <c r="AZ53" i="1" s="1"/>
  <c r="AZ142" i="1" a="1"/>
  <c r="AZ142" i="1" s="1"/>
  <c r="AZ136" i="1" a="1"/>
  <c r="AZ136" i="1" s="1"/>
  <c r="AZ123" i="1" a="1"/>
  <c r="AZ123" i="1" s="1"/>
  <c r="AZ105" i="1" a="1"/>
  <c r="AZ105" i="1" s="1"/>
  <c r="AZ73" i="1" a="1"/>
  <c r="AZ73" i="1" s="1"/>
  <c r="AZ72" i="1" a="1"/>
  <c r="AZ72" i="1" s="1"/>
  <c r="AZ64" i="1" a="1"/>
  <c r="AZ64" i="1" s="1"/>
  <c r="AZ50" i="1" a="1"/>
  <c r="AZ50" i="1" s="1"/>
  <c r="AZ38" i="1" a="1"/>
  <c r="AZ38" i="1" s="1"/>
  <c r="AD31" i="1"/>
  <c r="AD30" i="1"/>
  <c r="AZ27" i="1" a="1"/>
  <c r="AZ27" i="1" s="1"/>
  <c r="AZ23" i="1" a="1"/>
  <c r="AZ23" i="1" s="1"/>
  <c r="AZ19" i="1" a="1"/>
  <c r="AZ19" i="1" s="1"/>
  <c r="AZ144" i="1" a="1"/>
  <c r="AZ144" i="1" s="1"/>
  <c r="AZ143" i="1" a="1"/>
  <c r="AZ143" i="1" s="1"/>
  <c r="AZ135" i="1" a="1"/>
  <c r="AZ135" i="1" s="1"/>
  <c r="AZ134" i="1" a="1"/>
  <c r="AZ134" i="1" s="1"/>
  <c r="AZ80" i="1" a="1"/>
  <c r="AZ80" i="1" s="1"/>
  <c r="AZ75" i="1" a="1"/>
  <c r="AZ75" i="1" s="1"/>
  <c r="AZ67" i="1" a="1"/>
  <c r="AZ67" i="1" s="1"/>
  <c r="AZ56" i="1" a="1"/>
  <c r="AZ56" i="1" s="1"/>
  <c r="AZ39" i="1" a="1"/>
  <c r="AZ39" i="1" s="1"/>
  <c r="R37" i="1"/>
  <c r="R13" i="1"/>
  <c r="AZ11" i="1" a="1"/>
  <c r="AZ11" i="1" s="1"/>
  <c r="R5" i="1"/>
  <c r="AZ65" i="1" a="1"/>
  <c r="AZ65" i="1" s="1"/>
  <c r="BA75" i="1" a="1"/>
  <c r="BA75" i="1" s="1"/>
  <c r="BA82" i="1" a="1"/>
  <c r="BA82" i="1" s="1"/>
  <c r="AZ83" i="1" a="1"/>
  <c r="AZ83" i="1" s="1"/>
  <c r="AZ118" i="1" a="1"/>
  <c r="AZ118" i="1" s="1"/>
  <c r="AZ138" i="1" a="1"/>
  <c r="AZ138" i="1" s="1"/>
  <c r="BA161" i="1" a="1"/>
  <c r="BA161" i="1" s="1"/>
  <c r="E3" i="3"/>
  <c r="F3" i="3"/>
  <c r="AY12" i="1"/>
  <c r="AZ12" i="1" s="1" a="1"/>
  <c r="AZ12" i="1" s="1"/>
  <c r="AY20" i="1"/>
  <c r="BA20" i="1" s="1" a="1"/>
  <c r="BA20" i="1" s="1"/>
  <c r="AY28" i="1"/>
  <c r="BB28" i="1" s="1" a="1"/>
  <c r="BB28" i="1" s="1"/>
  <c r="AY36" i="1"/>
  <c r="AZ36" i="1" s="1" a="1"/>
  <c r="AZ36" i="1" s="1"/>
  <c r="AY44" i="1"/>
  <c r="BA44" i="1" s="1" a="1"/>
  <c r="BA44" i="1" s="1"/>
  <c r="AY52" i="1"/>
  <c r="BA52" i="1" s="1" a="1"/>
  <c r="BA52" i="1" s="1"/>
  <c r="AY60" i="1"/>
  <c r="BB60" i="1" s="1" a="1"/>
  <c r="BB60" i="1" s="1"/>
  <c r="AY68" i="1"/>
  <c r="BB68" i="1" s="1" a="1"/>
  <c r="BB68" i="1" s="1"/>
  <c r="AY76" i="1"/>
  <c r="BB76" i="1" s="1" a="1"/>
  <c r="BB76" i="1" s="1"/>
  <c r="AY84" i="1"/>
  <c r="BA84" i="1" s="1" a="1"/>
  <c r="BA84" i="1" s="1"/>
  <c r="AY92" i="1"/>
  <c r="BB92" i="1" s="1" a="1"/>
  <c r="BB92" i="1" s="1"/>
  <c r="AY100" i="1"/>
  <c r="AZ100" i="1" s="1" a="1"/>
  <c r="AZ100" i="1" s="1"/>
  <c r="AY108" i="1"/>
  <c r="BA108" i="1" s="1" a="1"/>
  <c r="BA108" i="1" s="1"/>
  <c r="AY116" i="1"/>
  <c r="BB116" i="1" s="1" a="1"/>
  <c r="BB116" i="1" s="1"/>
  <c r="AY124" i="1"/>
  <c r="BA124" i="1" s="1" a="1"/>
  <c r="BA124" i="1" s="1"/>
  <c r="AY132" i="1"/>
  <c r="AZ132" i="1" s="1" a="1"/>
  <c r="AZ132" i="1" s="1"/>
  <c r="AY140" i="1"/>
  <c r="BB140" i="1" s="1" a="1"/>
  <c r="BB140" i="1" s="1"/>
  <c r="AY148" i="1"/>
  <c r="BA148" i="1" s="1" a="1"/>
  <c r="BA148" i="1" s="1"/>
  <c r="AY156" i="1"/>
  <c r="BB156" i="1" s="1" a="1"/>
  <c r="BB156" i="1" s="1"/>
  <c r="AY164" i="1"/>
  <c r="BB164" i="1" s="1" a="1"/>
  <c r="BB164" i="1" s="1"/>
  <c r="AY172" i="1"/>
  <c r="AY180" i="1"/>
  <c r="AY188" i="1"/>
  <c r="AY196" i="1"/>
  <c r="AY204" i="1"/>
  <c r="AY212" i="1"/>
  <c r="AY220" i="1"/>
  <c r="AY228" i="1"/>
  <c r="AY236" i="1"/>
  <c r="AY244" i="1"/>
  <c r="F9" i="3"/>
  <c r="E9" i="3"/>
  <c r="E8" i="3"/>
  <c r="E11" i="3"/>
  <c r="E20" i="3"/>
  <c r="F20" i="3"/>
  <c r="F38" i="3"/>
  <c r="E38" i="3"/>
  <c r="E12" i="3"/>
  <c r="F17" i="3"/>
  <c r="E17" i="3"/>
  <c r="E26" i="3"/>
  <c r="F16" i="3"/>
  <c r="F19" i="3"/>
  <c r="E19" i="3"/>
  <c r="F30" i="3"/>
  <c r="E30" i="3"/>
  <c r="F34" i="3"/>
  <c r="E34" i="3"/>
  <c r="E2" i="3"/>
  <c r="E10" i="3"/>
  <c r="F18" i="3"/>
  <c r="E18" i="3"/>
  <c r="E14" i="3"/>
  <c r="E24" i="3"/>
  <c r="F31" i="3"/>
  <c r="E31" i="3"/>
  <c r="F32" i="3"/>
  <c r="F59" i="3"/>
  <c r="E59" i="3"/>
  <c r="F47" i="3"/>
  <c r="E47" i="3"/>
  <c r="E61" i="3"/>
  <c r="E72" i="3"/>
  <c r="F35" i="3"/>
  <c r="E35" i="3"/>
  <c r="F39" i="3"/>
  <c r="E39" i="3"/>
  <c r="F43" i="3"/>
  <c r="E43" i="3"/>
  <c r="E64" i="3"/>
  <c r="F27" i="3"/>
  <c r="F28" i="3"/>
  <c r="F55" i="3"/>
  <c r="E55" i="3"/>
  <c r="F70" i="3"/>
  <c r="E70" i="3"/>
  <c r="F62" i="3"/>
  <c r="E62" i="3"/>
  <c r="E42" i="3"/>
  <c r="E46" i="3"/>
  <c r="E48" i="3"/>
  <c r="E37" i="3"/>
  <c r="E41" i="3"/>
  <c r="E45" i="3"/>
  <c r="F51" i="3"/>
  <c r="E51" i="3"/>
  <c r="E65" i="3"/>
  <c r="F80" i="3"/>
  <c r="F88" i="3"/>
  <c r="F96" i="3"/>
  <c r="E97" i="3"/>
  <c r="F104" i="3"/>
  <c r="E105" i="3"/>
  <c r="F112" i="3"/>
  <c r="F120" i="3"/>
  <c r="F128" i="3"/>
  <c r="E130" i="3"/>
  <c r="E67" i="3"/>
  <c r="E75" i="3"/>
  <c r="E83" i="3"/>
  <c r="E91" i="3"/>
  <c r="E99" i="3"/>
  <c r="E107" i="3"/>
  <c r="E115" i="3"/>
  <c r="E123" i="3"/>
  <c r="E131" i="3"/>
  <c r="E136" i="3"/>
  <c r="F140" i="3"/>
  <c r="E140" i="3"/>
  <c r="F144" i="3"/>
  <c r="E144" i="3"/>
  <c r="F148" i="3"/>
  <c r="E148" i="3"/>
  <c r="F152" i="3"/>
  <c r="E152" i="3"/>
  <c r="E157" i="3"/>
  <c r="F158" i="3"/>
  <c r="E158" i="3"/>
  <c r="E165" i="3"/>
  <c r="E78" i="3"/>
  <c r="E86" i="3"/>
  <c r="E94" i="3"/>
  <c r="E102" i="3"/>
  <c r="E110" i="3"/>
  <c r="E118" i="3"/>
  <c r="E126" i="3"/>
  <c r="E139" i="3"/>
  <c r="E143" i="3"/>
  <c r="E147" i="3"/>
  <c r="E63" i="3"/>
  <c r="E71" i="3"/>
  <c r="E79" i="3"/>
  <c r="E87" i="3"/>
  <c r="E95" i="3"/>
  <c r="E103" i="3"/>
  <c r="E111" i="3"/>
  <c r="E119" i="3"/>
  <c r="F163" i="3"/>
  <c r="E163" i="3"/>
  <c r="E137" i="3"/>
  <c r="E141" i="3"/>
  <c r="E145" i="3"/>
  <c r="E149" i="3"/>
  <c r="E153" i="3"/>
  <c r="F156" i="3"/>
  <c r="E156" i="3"/>
  <c r="E166" i="3"/>
  <c r="E174" i="3"/>
  <c r="F181" i="3"/>
  <c r="E182" i="3"/>
  <c r="F189" i="3"/>
  <c r="E190" i="3"/>
  <c r="F197" i="3"/>
  <c r="E198" i="3"/>
  <c r="F205" i="3"/>
  <c r="E206" i="3"/>
  <c r="F213" i="3"/>
  <c r="E214" i="3"/>
  <c r="F221" i="3"/>
  <c r="E222" i="3"/>
  <c r="F229" i="3"/>
  <c r="E230" i="3"/>
  <c r="E236" i="3"/>
  <c r="E199" i="3"/>
  <c r="E207" i="3"/>
  <c r="E215" i="3"/>
  <c r="E223" i="3"/>
  <c r="E231" i="3"/>
  <c r="F235" i="3"/>
  <c r="E235" i="3"/>
  <c r="E160" i="3"/>
  <c r="E168" i="3"/>
  <c r="E176" i="3"/>
  <c r="E184" i="3"/>
  <c r="E192" i="3"/>
  <c r="E200" i="3"/>
  <c r="E208" i="3"/>
  <c r="E244" i="3"/>
  <c r="E234" i="3"/>
  <c r="E242" i="3"/>
  <c r="F245" i="3"/>
  <c r="E245" i="3"/>
  <c r="E171" i="3"/>
  <c r="E179" i="3"/>
  <c r="E187" i="3"/>
  <c r="E195" i="3"/>
  <c r="E203" i="3"/>
  <c r="E211" i="3"/>
  <c r="E219" i="3"/>
  <c r="E227" i="3"/>
  <c r="E164" i="3"/>
  <c r="E172" i="3"/>
  <c r="E180" i="3"/>
  <c r="E188" i="3"/>
  <c r="E196" i="3"/>
  <c r="E204" i="3"/>
  <c r="E212" i="3"/>
  <c r="E220" i="3"/>
  <c r="E228" i="3"/>
  <c r="F239" i="3"/>
  <c r="F243" i="3"/>
  <c r="E243" i="3"/>
  <c r="E247" i="3"/>
  <c r="E251" i="3"/>
  <c r="AV4" i="1" l="1" a="1"/>
  <c r="AV192" i="1" s="1"/>
  <c r="BA140" i="1" a="1"/>
  <c r="BA140" i="1" s="1"/>
  <c r="AZ76" i="1" a="1"/>
  <c r="AZ76" i="1" s="1"/>
  <c r="BA60" i="1" a="1"/>
  <c r="BA60" i="1" s="1"/>
  <c r="BA156" i="1" a="1"/>
  <c r="BA156" i="1" s="1"/>
  <c r="BA12" i="1" a="1"/>
  <c r="BA12" i="1" s="1"/>
  <c r="BA100" i="1" a="1"/>
  <c r="BA100" i="1" s="1"/>
  <c r="AZ60" i="1" a="1"/>
  <c r="AZ60" i="1" s="1"/>
  <c r="AZ164" i="1" a="1"/>
  <c r="AZ164" i="1" s="1"/>
  <c r="AZ92" i="1" a="1"/>
  <c r="AZ92" i="1" s="1"/>
  <c r="BB13" i="1" a="1"/>
  <c r="BB13" i="1" s="1"/>
  <c r="AV176" i="1"/>
  <c r="AV112" i="1"/>
  <c r="AV48" i="1"/>
  <c r="AV180" i="1"/>
  <c r="AV116" i="1"/>
  <c r="AV52" i="1"/>
  <c r="AV179" i="1"/>
  <c r="AV94" i="1"/>
  <c r="AV9" i="1"/>
  <c r="AV111" i="1"/>
  <c r="AV14" i="1"/>
  <c r="AV109" i="1"/>
  <c r="AV11" i="1"/>
  <c r="AV77" i="1"/>
  <c r="AV154" i="1"/>
  <c r="AV25" i="1"/>
  <c r="AV103" i="1"/>
  <c r="AV181" i="1"/>
  <c r="AV53" i="1"/>
  <c r="AV127" i="1"/>
  <c r="AV163" i="1"/>
  <c r="AV31" i="1"/>
  <c r="AV102" i="1"/>
  <c r="AV178" i="1"/>
  <c r="AV37" i="1"/>
  <c r="AE6" i="1"/>
  <c r="AE27" i="1"/>
  <c r="S12" i="1"/>
  <c r="S14" i="1"/>
  <c r="Z14" i="1" s="1"/>
  <c r="S19" i="1"/>
  <c r="AE8" i="1"/>
  <c r="S9" i="1"/>
  <c r="S10" i="1"/>
  <c r="Z10" i="1" s="1"/>
  <c r="AE28" i="1"/>
  <c r="S20" i="1"/>
  <c r="Z20" i="1" s="1"/>
  <c r="S11" i="1"/>
  <c r="Z11" i="1" s="1"/>
  <c r="S38" i="1"/>
  <c r="BB100" i="1" a="1"/>
  <c r="BB100" i="1" s="1"/>
  <c r="AE35" i="1"/>
  <c r="S29" i="1"/>
  <c r="S16" i="1"/>
  <c r="Z16" i="1" s="1"/>
  <c r="S23" i="1"/>
  <c r="Z23" i="1" s="1"/>
  <c r="S22" i="1"/>
  <c r="Z22" i="1" s="1"/>
  <c r="AE15" i="1"/>
  <c r="AE23" i="1"/>
  <c r="AE10" i="1"/>
  <c r="BB12" i="1" a="1"/>
  <c r="BB12" i="1" s="1"/>
  <c r="S24" i="1"/>
  <c r="AE11" i="1"/>
  <c r="AE32" i="1"/>
  <c r="AE14" i="1"/>
  <c r="S41" i="1"/>
  <c r="S18" i="1"/>
  <c r="AE33" i="1"/>
  <c r="AE30" i="1"/>
  <c r="S25" i="1"/>
  <c r="Z25" i="1" s="1"/>
  <c r="S15" i="1"/>
  <c r="AE25" i="1"/>
  <c r="S7" i="1"/>
  <c r="BB36" i="1" a="1"/>
  <c r="BB36" i="1" s="1"/>
  <c r="S28" i="1"/>
  <c r="Z28" i="1" s="1"/>
  <c r="BB132" i="1" a="1"/>
  <c r="BB132" i="1" s="1"/>
  <c r="BB124" i="1" a="1"/>
  <c r="BB124" i="1" s="1"/>
  <c r="AZ52" i="1" a="1"/>
  <c r="AZ52" i="1" s="1"/>
  <c r="AZ116" i="1" a="1"/>
  <c r="AZ116" i="1" s="1"/>
  <c r="AZ44" i="1" a="1"/>
  <c r="AZ44" i="1" s="1"/>
  <c r="Z29" i="1"/>
  <c r="BA164" i="1" a="1"/>
  <c r="BA164" i="1" s="1"/>
  <c r="BA36" i="1" a="1"/>
  <c r="BA36" i="1" s="1"/>
  <c r="Z19" i="1"/>
  <c r="AZ68" i="1" a="1"/>
  <c r="AZ68" i="1" s="1"/>
  <c r="W45" i="1"/>
  <c r="Z15" i="1"/>
  <c r="AZ28" i="1" a="1"/>
  <c r="AZ28" i="1" s="1"/>
  <c r="BA116" i="1" a="1"/>
  <c r="BA116" i="1" s="1"/>
  <c r="BA68" i="1" a="1"/>
  <c r="BA68" i="1" s="1"/>
  <c r="BA92" i="1" a="1"/>
  <c r="BA92" i="1" s="1"/>
  <c r="BA28" i="1" a="1"/>
  <c r="BA28" i="1" s="1"/>
  <c r="AE21" i="1"/>
  <c r="AE37" i="1"/>
  <c r="AE31" i="1"/>
  <c r="AE19" i="1"/>
  <c r="S27" i="1"/>
  <c r="AE7" i="1"/>
  <c r="S33" i="1"/>
  <c r="AE18" i="1"/>
  <c r="BB44" i="1" a="1"/>
  <c r="BB44" i="1" s="1"/>
  <c r="BB108" i="1" a="1"/>
  <c r="BB108" i="1" s="1"/>
  <c r="S13" i="1"/>
  <c r="Z13" i="1" s="1"/>
  <c r="S17" i="1"/>
  <c r="Z17" i="1" s="1"/>
  <c r="S6" i="1"/>
  <c r="AE36" i="1"/>
  <c r="AE29" i="1"/>
  <c r="AE34" i="1"/>
  <c r="AE22" i="1"/>
  <c r="S36" i="1"/>
  <c r="V52" i="1" s="1"/>
  <c r="S21" i="1"/>
  <c r="S40" i="1"/>
  <c r="S37" i="1"/>
  <c r="AE16" i="1"/>
  <c r="AE26" i="1"/>
  <c r="BB20" i="1" a="1"/>
  <c r="BB20" i="1" s="1"/>
  <c r="BB148" i="1" a="1"/>
  <c r="BB148" i="1" s="1"/>
  <c r="W43" i="1"/>
  <c r="Z9" i="1"/>
  <c r="AZ84" i="1" a="1"/>
  <c r="AZ84" i="1" s="1"/>
  <c r="W44" i="1"/>
  <c r="AK4" i="1" a="1"/>
  <c r="AJ4" i="1" a="1"/>
  <c r="AI4" i="1" a="1"/>
  <c r="AN4" i="1" a="1"/>
  <c r="AZ148" i="1" a="1"/>
  <c r="AZ148" i="1" s="1"/>
  <c r="AE9" i="1"/>
  <c r="S26" i="1"/>
  <c r="Z26" i="1" s="1"/>
  <c r="AE12" i="1"/>
  <c r="S42" i="1"/>
  <c r="AE20" i="1"/>
  <c r="S32" i="1"/>
  <c r="BB52" i="1" a="1"/>
  <c r="BB52" i="1" s="1"/>
  <c r="S31" i="1"/>
  <c r="BB84" i="1" a="1"/>
  <c r="BB84" i="1" s="1"/>
  <c r="Z3" i="1"/>
  <c r="W48" i="1"/>
  <c r="Z24" i="1"/>
  <c r="Z7" i="1"/>
  <c r="S5" i="1"/>
  <c r="Z5" i="1" s="1"/>
  <c r="AE5" i="1"/>
  <c r="AE13" i="1"/>
  <c r="AE17" i="1"/>
  <c r="AE24" i="1"/>
  <c r="S35" i="1"/>
  <c r="S34" i="1"/>
  <c r="W41" i="1"/>
  <c r="AV166" i="1" l="1"/>
  <c r="AV98" i="1"/>
  <c r="AV21" i="1"/>
  <c r="AV162" i="1"/>
  <c r="AV45" i="1"/>
  <c r="AV175" i="1"/>
  <c r="AV101" i="1"/>
  <c r="AV22" i="1"/>
  <c r="AV153" i="1"/>
  <c r="AV74" i="1"/>
  <c r="AV203" i="1"/>
  <c r="AV125" i="1"/>
  <c r="AV47" i="1"/>
  <c r="AV145" i="1"/>
  <c r="AV50" i="1"/>
  <c r="AV149" i="1"/>
  <c r="AV41" i="1"/>
  <c r="AV126" i="1"/>
  <c r="AV12" i="1"/>
  <c r="AV76" i="1"/>
  <c r="AV140" i="1"/>
  <c r="AV8" i="1"/>
  <c r="AV72" i="1"/>
  <c r="AV136" i="1"/>
  <c r="AV200" i="1"/>
  <c r="AV46" i="1"/>
  <c r="AV5" i="1"/>
  <c r="AV143" i="1"/>
  <c r="AV66" i="1"/>
  <c r="AV199" i="1"/>
  <c r="AV61" i="1"/>
  <c r="AV191" i="1"/>
  <c r="AV117" i="1"/>
  <c r="AV39" i="1"/>
  <c r="AV167" i="1"/>
  <c r="AV90" i="1"/>
  <c r="AV10" i="1"/>
  <c r="AV141" i="1"/>
  <c r="AV59" i="1"/>
  <c r="AV157" i="1"/>
  <c r="AV63" i="1"/>
  <c r="AV161" i="1"/>
  <c r="AV51" i="1"/>
  <c r="AV137" i="1"/>
  <c r="AV20" i="1"/>
  <c r="AV84" i="1"/>
  <c r="AV148" i="1"/>
  <c r="AV16" i="1"/>
  <c r="AV80" i="1"/>
  <c r="AV144" i="1"/>
  <c r="AV86" i="1"/>
  <c r="AV49" i="1"/>
  <c r="AV183" i="1"/>
  <c r="AV113" i="1"/>
  <c r="AV33" i="1"/>
  <c r="AV78" i="1"/>
  <c r="AV4" i="1"/>
  <c r="AV131" i="1"/>
  <c r="AV55" i="1"/>
  <c r="AV186" i="1"/>
  <c r="AV106" i="1"/>
  <c r="AV27" i="1"/>
  <c r="AV155" i="1"/>
  <c r="AV71" i="1"/>
  <c r="AV170" i="1"/>
  <c r="AV75" i="1"/>
  <c r="AV173" i="1"/>
  <c r="AV62" i="1"/>
  <c r="AV147" i="1"/>
  <c r="AV28" i="1"/>
  <c r="AV92" i="1"/>
  <c r="AV156" i="1"/>
  <c r="AV24" i="1"/>
  <c r="AV88" i="1"/>
  <c r="AV152" i="1"/>
  <c r="V50" i="1"/>
  <c r="AV130" i="1"/>
  <c r="AV95" i="1"/>
  <c r="AV17" i="1"/>
  <c r="AV151" i="1"/>
  <c r="AV79" i="1"/>
  <c r="AV93" i="1"/>
  <c r="AV18" i="1"/>
  <c r="AV150" i="1"/>
  <c r="AV70" i="1"/>
  <c r="AV202" i="1"/>
  <c r="AV122" i="1"/>
  <c r="AV43" i="1"/>
  <c r="AV174" i="1"/>
  <c r="AV85" i="1"/>
  <c r="AV182" i="1"/>
  <c r="AV87" i="1"/>
  <c r="AV185" i="1"/>
  <c r="AV73" i="1"/>
  <c r="AV158" i="1"/>
  <c r="AV36" i="1"/>
  <c r="AV100" i="1"/>
  <c r="AV164" i="1"/>
  <c r="AV32" i="1"/>
  <c r="AV96" i="1"/>
  <c r="AV160" i="1"/>
  <c r="AV177" i="1"/>
  <c r="AV134" i="1"/>
  <c r="AV65" i="1"/>
  <c r="AV195" i="1"/>
  <c r="AV118" i="1"/>
  <c r="AV110" i="1"/>
  <c r="AV34" i="1"/>
  <c r="AV165" i="1"/>
  <c r="AV89" i="1"/>
  <c r="AV7" i="1"/>
  <c r="AV139" i="1"/>
  <c r="AV58" i="1"/>
  <c r="AV189" i="1"/>
  <c r="AV97" i="1"/>
  <c r="AV194" i="1"/>
  <c r="AV99" i="1"/>
  <c r="AV197" i="1"/>
  <c r="AV83" i="1"/>
  <c r="AV169" i="1"/>
  <c r="AV44" i="1"/>
  <c r="AV108" i="1"/>
  <c r="AV172" i="1"/>
  <c r="AV40" i="1"/>
  <c r="AV104" i="1"/>
  <c r="AV168" i="1"/>
  <c r="AV81" i="1"/>
  <c r="AV15" i="1"/>
  <c r="AV146" i="1"/>
  <c r="AV69" i="1"/>
  <c r="AV13" i="1"/>
  <c r="AV142" i="1"/>
  <c r="AV67" i="1"/>
  <c r="AV198" i="1"/>
  <c r="AV119" i="1"/>
  <c r="AV42" i="1"/>
  <c r="AV171" i="1"/>
  <c r="AV91" i="1"/>
  <c r="AV23" i="1"/>
  <c r="AV121" i="1"/>
  <c r="AV26" i="1"/>
  <c r="AV123" i="1"/>
  <c r="AV19" i="1"/>
  <c r="AV105" i="1"/>
  <c r="AV190" i="1"/>
  <c r="AV60" i="1"/>
  <c r="AV124" i="1"/>
  <c r="AV188" i="1"/>
  <c r="AV56" i="1"/>
  <c r="AV120" i="1"/>
  <c r="AV184" i="1"/>
  <c r="AV129" i="1"/>
  <c r="AV54" i="1"/>
  <c r="AV193" i="1"/>
  <c r="AV114" i="1"/>
  <c r="AV29" i="1"/>
  <c r="AV159" i="1"/>
  <c r="AV82" i="1"/>
  <c r="AV6" i="1"/>
  <c r="AV138" i="1"/>
  <c r="AV57" i="1"/>
  <c r="AV187" i="1"/>
  <c r="AV107" i="1"/>
  <c r="AV35" i="1"/>
  <c r="AV133" i="1"/>
  <c r="AV38" i="1"/>
  <c r="AV135" i="1"/>
  <c r="AV30" i="1"/>
  <c r="AV115" i="1"/>
  <c r="AV201" i="1"/>
  <c r="AV68" i="1"/>
  <c r="AV132" i="1"/>
  <c r="AV196" i="1"/>
  <c r="AV64" i="1"/>
  <c r="AV128" i="1"/>
  <c r="AJ251" i="1"/>
  <c r="AJ243" i="1"/>
  <c r="AJ235" i="1"/>
  <c r="AJ227" i="1"/>
  <c r="AJ219" i="1"/>
  <c r="AJ211" i="1"/>
  <c r="AJ203" i="1"/>
  <c r="AJ195" i="1"/>
  <c r="AJ187" i="1"/>
  <c r="AJ179" i="1"/>
  <c r="AJ171" i="1"/>
  <c r="AJ163" i="1"/>
  <c r="AJ155" i="1"/>
  <c r="AJ147" i="1"/>
  <c r="AJ139" i="1"/>
  <c r="AJ131" i="1"/>
  <c r="AJ123" i="1"/>
  <c r="AJ115" i="1"/>
  <c r="AJ107" i="1"/>
  <c r="AJ99" i="1"/>
  <c r="AJ91" i="1"/>
  <c r="AJ83" i="1"/>
  <c r="AJ75" i="1"/>
  <c r="AJ67" i="1"/>
  <c r="AJ59" i="1"/>
  <c r="AJ51" i="1"/>
  <c r="AJ43" i="1"/>
  <c r="AJ35" i="1"/>
  <c r="AJ27" i="1"/>
  <c r="AJ19" i="1"/>
  <c r="AJ11" i="1"/>
  <c r="AJ4" i="1"/>
  <c r="AJ247" i="1"/>
  <c r="AJ239" i="1"/>
  <c r="AJ231" i="1"/>
  <c r="AJ223" i="1"/>
  <c r="AJ215" i="1"/>
  <c r="AJ207" i="1"/>
  <c r="AJ199" i="1"/>
  <c r="AJ191" i="1"/>
  <c r="AJ183" i="1"/>
  <c r="AJ175" i="1"/>
  <c r="AJ167" i="1"/>
  <c r="AJ159" i="1"/>
  <c r="AJ151" i="1"/>
  <c r="AJ143" i="1"/>
  <c r="AJ135" i="1"/>
  <c r="AJ127" i="1"/>
  <c r="AJ119" i="1"/>
  <c r="AJ111" i="1"/>
  <c r="AJ103" i="1"/>
  <c r="AJ95" i="1"/>
  <c r="AJ87" i="1"/>
  <c r="AJ79" i="1"/>
  <c r="AJ71" i="1"/>
  <c r="AJ63" i="1"/>
  <c r="AJ55" i="1"/>
  <c r="AJ47" i="1"/>
  <c r="AJ39" i="1"/>
  <c r="AJ31" i="1"/>
  <c r="AJ23" i="1"/>
  <c r="AJ15" i="1"/>
  <c r="AJ7" i="1"/>
  <c r="AJ249" i="1"/>
  <c r="AJ238" i="1"/>
  <c r="AJ228" i="1"/>
  <c r="AJ217" i="1"/>
  <c r="AJ206" i="1"/>
  <c r="AJ196" i="1"/>
  <c r="AJ185" i="1"/>
  <c r="AJ174" i="1"/>
  <c r="AJ164" i="1"/>
  <c r="AJ153" i="1"/>
  <c r="AJ142" i="1"/>
  <c r="AJ132" i="1"/>
  <c r="AJ121" i="1"/>
  <c r="AJ110" i="1"/>
  <c r="AJ100" i="1"/>
  <c r="AJ89" i="1"/>
  <c r="AJ78" i="1"/>
  <c r="AJ68" i="1"/>
  <c r="AJ57" i="1"/>
  <c r="AJ46" i="1"/>
  <c r="AJ36" i="1"/>
  <c r="AJ25" i="1"/>
  <c r="AJ14" i="1"/>
  <c r="AJ248" i="1"/>
  <c r="AJ237" i="1"/>
  <c r="AJ226" i="1"/>
  <c r="AJ216" i="1"/>
  <c r="AJ205" i="1"/>
  <c r="AJ194" i="1"/>
  <c r="AJ184" i="1"/>
  <c r="AJ173" i="1"/>
  <c r="AJ162" i="1"/>
  <c r="AJ152" i="1"/>
  <c r="AJ141" i="1"/>
  <c r="AJ130" i="1"/>
  <c r="AJ120" i="1"/>
  <c r="AJ109" i="1"/>
  <c r="AJ98" i="1"/>
  <c r="AJ88" i="1"/>
  <c r="AJ77" i="1"/>
  <c r="AJ66" i="1"/>
  <c r="AJ56" i="1"/>
  <c r="AJ45" i="1"/>
  <c r="AJ34" i="1"/>
  <c r="AJ24" i="1"/>
  <c r="AJ13" i="1"/>
  <c r="AJ245" i="1"/>
  <c r="AJ234" i="1"/>
  <c r="AJ224" i="1"/>
  <c r="AJ213" i="1"/>
  <c r="AJ202" i="1"/>
  <c r="AJ192" i="1"/>
  <c r="AJ181" i="1"/>
  <c r="AJ170" i="1"/>
  <c r="AJ160" i="1"/>
  <c r="AJ149" i="1"/>
  <c r="AJ138" i="1"/>
  <c r="AJ128" i="1"/>
  <c r="AJ117" i="1"/>
  <c r="AJ106" i="1"/>
  <c r="AJ96" i="1"/>
  <c r="AJ85" i="1"/>
  <c r="AJ74" i="1"/>
  <c r="AJ64" i="1"/>
  <c r="AJ53" i="1"/>
  <c r="AJ42" i="1"/>
  <c r="AJ32" i="1"/>
  <c r="AJ21" i="1"/>
  <c r="AJ10" i="1"/>
  <c r="AJ253" i="1"/>
  <c r="AJ242" i="1"/>
  <c r="AJ232" i="1"/>
  <c r="AJ221" i="1"/>
  <c r="AJ210" i="1"/>
  <c r="AJ200" i="1"/>
  <c r="AJ189" i="1"/>
  <c r="AJ178" i="1"/>
  <c r="AJ168" i="1"/>
  <c r="AJ157" i="1"/>
  <c r="AJ146" i="1"/>
  <c r="AJ136" i="1"/>
  <c r="AJ125" i="1"/>
  <c r="AJ114" i="1"/>
  <c r="AJ104" i="1"/>
  <c r="AJ93" i="1"/>
  <c r="AJ82" i="1"/>
  <c r="AJ72" i="1"/>
  <c r="AJ61" i="1"/>
  <c r="AJ50" i="1"/>
  <c r="AJ40" i="1"/>
  <c r="AJ29" i="1"/>
  <c r="AJ18" i="1"/>
  <c r="AJ8" i="1"/>
  <c r="AJ236" i="1"/>
  <c r="AJ214" i="1"/>
  <c r="AJ193" i="1"/>
  <c r="AJ172" i="1"/>
  <c r="AJ150" i="1"/>
  <c r="AJ129" i="1"/>
  <c r="AJ108" i="1"/>
  <c r="AJ86" i="1"/>
  <c r="AJ65" i="1"/>
  <c r="AJ44" i="1"/>
  <c r="AJ22" i="1"/>
  <c r="AJ233" i="1"/>
  <c r="AJ212" i="1"/>
  <c r="AJ190" i="1"/>
  <c r="AJ169" i="1"/>
  <c r="AJ148" i="1"/>
  <c r="AJ126" i="1"/>
  <c r="AJ105" i="1"/>
  <c r="AJ84" i="1"/>
  <c r="AJ62" i="1"/>
  <c r="AJ41" i="1"/>
  <c r="AJ20" i="1"/>
  <c r="AJ252" i="1"/>
  <c r="AJ230" i="1"/>
  <c r="AJ209" i="1"/>
  <c r="AJ188" i="1"/>
  <c r="AJ166" i="1"/>
  <c r="AJ145" i="1"/>
  <c r="AJ124" i="1"/>
  <c r="AJ102" i="1"/>
  <c r="AJ81" i="1"/>
  <c r="AJ60" i="1"/>
  <c r="AJ38" i="1"/>
  <c r="AJ17" i="1"/>
  <c r="AJ250" i="1"/>
  <c r="AJ229" i="1"/>
  <c r="AJ208" i="1"/>
  <c r="AJ186" i="1"/>
  <c r="AJ165" i="1"/>
  <c r="AJ144" i="1"/>
  <c r="AJ122" i="1"/>
  <c r="AJ101" i="1"/>
  <c r="AJ80" i="1"/>
  <c r="AJ58" i="1"/>
  <c r="AJ37" i="1"/>
  <c r="AJ16" i="1"/>
  <c r="AJ246" i="1"/>
  <c r="AJ225" i="1"/>
  <c r="AJ204" i="1"/>
  <c r="AJ182" i="1"/>
  <c r="AJ161" i="1"/>
  <c r="AJ140" i="1"/>
  <c r="AJ118" i="1"/>
  <c r="AJ97" i="1"/>
  <c r="AJ76" i="1"/>
  <c r="AJ54" i="1"/>
  <c r="AJ33" i="1"/>
  <c r="AJ12" i="1"/>
  <c r="AJ244" i="1"/>
  <c r="AJ222" i="1"/>
  <c r="AJ201" i="1"/>
  <c r="AJ180" i="1"/>
  <c r="AJ158" i="1"/>
  <c r="AJ137" i="1"/>
  <c r="AJ116" i="1"/>
  <c r="AJ94" i="1"/>
  <c r="AJ73" i="1"/>
  <c r="AJ52" i="1"/>
  <c r="AJ30" i="1"/>
  <c r="AJ9" i="1"/>
  <c r="AJ241" i="1"/>
  <c r="AJ220" i="1"/>
  <c r="AJ198" i="1"/>
  <c r="AJ177" i="1"/>
  <c r="AJ156" i="1"/>
  <c r="AJ134" i="1"/>
  <c r="AJ113" i="1"/>
  <c r="AJ92" i="1"/>
  <c r="AJ70" i="1"/>
  <c r="AJ49" i="1"/>
  <c r="AJ28" i="1"/>
  <c r="AJ6" i="1"/>
  <c r="AJ240" i="1"/>
  <c r="AJ218" i="1"/>
  <c r="AJ197" i="1"/>
  <c r="AJ176" i="1"/>
  <c r="AJ154" i="1"/>
  <c r="AJ133" i="1"/>
  <c r="AJ112" i="1"/>
  <c r="AJ90" i="1"/>
  <c r="AJ69" i="1"/>
  <c r="AJ48" i="1"/>
  <c r="AJ26" i="1"/>
  <c r="AJ5" i="1"/>
  <c r="V47" i="1"/>
  <c r="Z21" i="1"/>
  <c r="AK248" i="1"/>
  <c r="AK240" i="1"/>
  <c r="AK232" i="1"/>
  <c r="AK224" i="1"/>
  <c r="AK216" i="1"/>
  <c r="AK208" i="1"/>
  <c r="AK200" i="1"/>
  <c r="AK192" i="1"/>
  <c r="AK184" i="1"/>
  <c r="AK176" i="1"/>
  <c r="AK168" i="1"/>
  <c r="AK160" i="1"/>
  <c r="AK152" i="1"/>
  <c r="AK144" i="1"/>
  <c r="AK136" i="1"/>
  <c r="AK128" i="1"/>
  <c r="AK120" i="1"/>
  <c r="AK112" i="1"/>
  <c r="AK104" i="1"/>
  <c r="AK96" i="1"/>
  <c r="AK88" i="1"/>
  <c r="AK80" i="1"/>
  <c r="AK72" i="1"/>
  <c r="AK64" i="1"/>
  <c r="AK56" i="1"/>
  <c r="AK48" i="1"/>
  <c r="AK40" i="1"/>
  <c r="AK32" i="1"/>
  <c r="AK24" i="1"/>
  <c r="AK16" i="1"/>
  <c r="AK8" i="1"/>
  <c r="AK246" i="1"/>
  <c r="AK252" i="1"/>
  <c r="AK244" i="1"/>
  <c r="AK236" i="1"/>
  <c r="AK228" i="1"/>
  <c r="AK220" i="1"/>
  <c r="AK212" i="1"/>
  <c r="AK204" i="1"/>
  <c r="AK196" i="1"/>
  <c r="AK188" i="1"/>
  <c r="AK180" i="1"/>
  <c r="AK172" i="1"/>
  <c r="AK164" i="1"/>
  <c r="AK156" i="1"/>
  <c r="AK148" i="1"/>
  <c r="AK140" i="1"/>
  <c r="AK132" i="1"/>
  <c r="AK124" i="1"/>
  <c r="AK116" i="1"/>
  <c r="AK108" i="1"/>
  <c r="AK100" i="1"/>
  <c r="AK92" i="1"/>
  <c r="AK84" i="1"/>
  <c r="AK76" i="1"/>
  <c r="AK68" i="1"/>
  <c r="AK60" i="1"/>
  <c r="AK52" i="1"/>
  <c r="AK44" i="1"/>
  <c r="AK36" i="1"/>
  <c r="AK28" i="1"/>
  <c r="AK20" i="1"/>
  <c r="AK12" i="1"/>
  <c r="AK243" i="1"/>
  <c r="AK233" i="1"/>
  <c r="AK222" i="1"/>
  <c r="AK211" i="1"/>
  <c r="AK201" i="1"/>
  <c r="AK190" i="1"/>
  <c r="AK179" i="1"/>
  <c r="AK169" i="1"/>
  <c r="AK158" i="1"/>
  <c r="AK147" i="1"/>
  <c r="AK137" i="1"/>
  <c r="AK126" i="1"/>
  <c r="AK115" i="1"/>
  <c r="AK105" i="1"/>
  <c r="AK94" i="1"/>
  <c r="AK83" i="1"/>
  <c r="AK73" i="1"/>
  <c r="AK62" i="1"/>
  <c r="AK51" i="1"/>
  <c r="AK41" i="1"/>
  <c r="AK30" i="1"/>
  <c r="AK19" i="1"/>
  <c r="AK9" i="1"/>
  <c r="AK242" i="1"/>
  <c r="AK231" i="1"/>
  <c r="AK221" i="1"/>
  <c r="AK210" i="1"/>
  <c r="AK199" i="1"/>
  <c r="AK189" i="1"/>
  <c r="AK178" i="1"/>
  <c r="AK167" i="1"/>
  <c r="AK157" i="1"/>
  <c r="AK146" i="1"/>
  <c r="AK135" i="1"/>
  <c r="AK125" i="1"/>
  <c r="AK114" i="1"/>
  <c r="AK103" i="1"/>
  <c r="AK93" i="1"/>
  <c r="AK82" i="1"/>
  <c r="AK71" i="1"/>
  <c r="AK61" i="1"/>
  <c r="AK50" i="1"/>
  <c r="AK39" i="1"/>
  <c r="AK29" i="1"/>
  <c r="AK18" i="1"/>
  <c r="AK7" i="1"/>
  <c r="AK251" i="1"/>
  <c r="AK239" i="1"/>
  <c r="AK229" i="1"/>
  <c r="AK218" i="1"/>
  <c r="AK207" i="1"/>
  <c r="AK197" i="1"/>
  <c r="AK186" i="1"/>
  <c r="AK175" i="1"/>
  <c r="AK165" i="1"/>
  <c r="AK154" i="1"/>
  <c r="AK143" i="1"/>
  <c r="AK133" i="1"/>
  <c r="AK122" i="1"/>
  <c r="AK111" i="1"/>
  <c r="AK101" i="1"/>
  <c r="AK90" i="1"/>
  <c r="AK79" i="1"/>
  <c r="AK69" i="1"/>
  <c r="AK58" i="1"/>
  <c r="AK47" i="1"/>
  <c r="AK37" i="1"/>
  <c r="AK26" i="1"/>
  <c r="AK15" i="1"/>
  <c r="AK5" i="1"/>
  <c r="AK249" i="1"/>
  <c r="AK237" i="1"/>
  <c r="AK226" i="1"/>
  <c r="AK215" i="1"/>
  <c r="AK205" i="1"/>
  <c r="AK194" i="1"/>
  <c r="AK183" i="1"/>
  <c r="AK173" i="1"/>
  <c r="AK162" i="1"/>
  <c r="AK151" i="1"/>
  <c r="AK141" i="1"/>
  <c r="AK130" i="1"/>
  <c r="AK119" i="1"/>
  <c r="AK109" i="1"/>
  <c r="AK98" i="1"/>
  <c r="AK87" i="1"/>
  <c r="AK77" i="1"/>
  <c r="AK66" i="1"/>
  <c r="AK55" i="1"/>
  <c r="AK45" i="1"/>
  <c r="AK34" i="1"/>
  <c r="AK23" i="1"/>
  <c r="AK13" i="1"/>
  <c r="AK241" i="1"/>
  <c r="AK219" i="1"/>
  <c r="AK198" i="1"/>
  <c r="AK177" i="1"/>
  <c r="AK155" i="1"/>
  <c r="AK134" i="1"/>
  <c r="AK113" i="1"/>
  <c r="AK91" i="1"/>
  <c r="AK70" i="1"/>
  <c r="AK49" i="1"/>
  <c r="AK27" i="1"/>
  <c r="AK6" i="1"/>
  <c r="AK238" i="1"/>
  <c r="AK217" i="1"/>
  <c r="AK195" i="1"/>
  <c r="AK174" i="1"/>
  <c r="AK153" i="1"/>
  <c r="AK131" i="1"/>
  <c r="AK110" i="1"/>
  <c r="AK89" i="1"/>
  <c r="AK67" i="1"/>
  <c r="AK46" i="1"/>
  <c r="AK25" i="1"/>
  <c r="AK4" i="1"/>
  <c r="AK235" i="1"/>
  <c r="AK214" i="1"/>
  <c r="AK193" i="1"/>
  <c r="AK171" i="1"/>
  <c r="AK150" i="1"/>
  <c r="AK129" i="1"/>
  <c r="AK107" i="1"/>
  <c r="AK86" i="1"/>
  <c r="AK65" i="1"/>
  <c r="AK43" i="1"/>
  <c r="AK22" i="1"/>
  <c r="AK234" i="1"/>
  <c r="AK213" i="1"/>
  <c r="AK191" i="1"/>
  <c r="AK170" i="1"/>
  <c r="AK149" i="1"/>
  <c r="AK127" i="1"/>
  <c r="AK106" i="1"/>
  <c r="AK85" i="1"/>
  <c r="AK63" i="1"/>
  <c r="AK42" i="1"/>
  <c r="AK21" i="1"/>
  <c r="AK253" i="1"/>
  <c r="AK230" i="1"/>
  <c r="AK209" i="1"/>
  <c r="AK187" i="1"/>
  <c r="AK166" i="1"/>
  <c r="AK145" i="1"/>
  <c r="AK123" i="1"/>
  <c r="AK102" i="1"/>
  <c r="AK81" i="1"/>
  <c r="AK59" i="1"/>
  <c r="AK38" i="1"/>
  <c r="AK17" i="1"/>
  <c r="AK250" i="1"/>
  <c r="AK227" i="1"/>
  <c r="AK206" i="1"/>
  <c r="AK185" i="1"/>
  <c r="AK163" i="1"/>
  <c r="AK142" i="1"/>
  <c r="AK121" i="1"/>
  <c r="AK99" i="1"/>
  <c r="AK78" i="1"/>
  <c r="AK57" i="1"/>
  <c r="AK35" i="1"/>
  <c r="AK14" i="1"/>
  <c r="AK247" i="1"/>
  <c r="AK225" i="1"/>
  <c r="AK203" i="1"/>
  <c r="AK182" i="1"/>
  <c r="AK161" i="1"/>
  <c r="AK139" i="1"/>
  <c r="AK118" i="1"/>
  <c r="AK97" i="1"/>
  <c r="AK75" i="1"/>
  <c r="AK54" i="1"/>
  <c r="AK33" i="1"/>
  <c r="AK11" i="1"/>
  <c r="AK245" i="1"/>
  <c r="AK223" i="1"/>
  <c r="AK202" i="1"/>
  <c r="AK181" i="1"/>
  <c r="AK159" i="1"/>
  <c r="AK138" i="1"/>
  <c r="AK117" i="1"/>
  <c r="AK95" i="1"/>
  <c r="AK74" i="1"/>
  <c r="AK53" i="1"/>
  <c r="AK31" i="1"/>
  <c r="AK10" i="1"/>
  <c r="V41" i="1"/>
  <c r="V51" i="1"/>
  <c r="Y44" i="1"/>
  <c r="V42" i="1"/>
  <c r="Z6" i="1"/>
  <c r="V49" i="1"/>
  <c r="X52" i="1" s="1"/>
  <c r="Z27" i="1"/>
  <c r="V48" i="1"/>
  <c r="V44" i="1"/>
  <c r="Z12" i="1"/>
  <c r="AI246" i="1"/>
  <c r="AI238" i="1"/>
  <c r="AI230" i="1"/>
  <c r="AI222" i="1"/>
  <c r="AI214" i="1"/>
  <c r="AI206" i="1"/>
  <c r="AI198" i="1"/>
  <c r="AI190" i="1"/>
  <c r="AI182" i="1"/>
  <c r="AI174" i="1"/>
  <c r="AI166" i="1"/>
  <c r="AI158" i="1"/>
  <c r="AI150" i="1"/>
  <c r="AI142" i="1"/>
  <c r="AI134" i="1"/>
  <c r="AI126" i="1"/>
  <c r="AI118" i="1"/>
  <c r="AI110" i="1"/>
  <c r="AI102" i="1"/>
  <c r="AI94" i="1"/>
  <c r="AI86" i="1"/>
  <c r="AI78" i="1"/>
  <c r="AI70" i="1"/>
  <c r="AI62" i="1"/>
  <c r="AI54" i="1"/>
  <c r="AI46" i="1"/>
  <c r="AI38" i="1"/>
  <c r="AI30" i="1"/>
  <c r="AI22" i="1"/>
  <c r="AI14" i="1"/>
  <c r="AI6" i="1"/>
  <c r="AI250" i="1"/>
  <c r="AI242" i="1"/>
  <c r="AI234" i="1"/>
  <c r="AI226" i="1"/>
  <c r="AI218" i="1"/>
  <c r="AI210" i="1"/>
  <c r="AI202" i="1"/>
  <c r="AI194" i="1"/>
  <c r="AI186" i="1"/>
  <c r="AI178" i="1"/>
  <c r="AI170" i="1"/>
  <c r="AI162" i="1"/>
  <c r="AI154" i="1"/>
  <c r="AI146" i="1"/>
  <c r="AI138" i="1"/>
  <c r="AI130" i="1"/>
  <c r="AI122" i="1"/>
  <c r="AI114" i="1"/>
  <c r="AI106" i="1"/>
  <c r="AI98" i="1"/>
  <c r="AI90" i="1"/>
  <c r="AI82" i="1"/>
  <c r="AI74" i="1"/>
  <c r="AI66" i="1"/>
  <c r="AI58" i="1"/>
  <c r="AI50" i="1"/>
  <c r="AI42" i="1"/>
  <c r="AI34" i="1"/>
  <c r="AI26" i="1"/>
  <c r="AI18" i="1"/>
  <c r="AI10" i="1"/>
  <c r="AI244" i="1"/>
  <c r="AI233" i="1"/>
  <c r="AI223" i="1"/>
  <c r="AI212" i="1"/>
  <c r="AI201" i="1"/>
  <c r="AI191" i="1"/>
  <c r="AI180" i="1"/>
  <c r="AI169" i="1"/>
  <c r="AI159" i="1"/>
  <c r="AI148" i="1"/>
  <c r="AI137" i="1"/>
  <c r="AI127" i="1"/>
  <c r="AI116" i="1"/>
  <c r="AI105" i="1"/>
  <c r="AI95" i="1"/>
  <c r="AI253" i="1"/>
  <c r="AI243" i="1"/>
  <c r="AI232" i="1"/>
  <c r="AI221" i="1"/>
  <c r="AI211" i="1"/>
  <c r="AI200" i="1"/>
  <c r="AI189" i="1"/>
  <c r="AI179" i="1"/>
  <c r="AI168" i="1"/>
  <c r="AI157" i="1"/>
  <c r="AI147" i="1"/>
  <c r="AI136" i="1"/>
  <c r="AI125" i="1"/>
  <c r="AI115" i="1"/>
  <c r="AI104" i="1"/>
  <c r="AI93" i="1"/>
  <c r="AI83" i="1"/>
  <c r="AI72" i="1"/>
  <c r="AI61" i="1"/>
  <c r="AI51" i="1"/>
  <c r="AI40" i="1"/>
  <c r="AI29" i="1"/>
  <c r="AI19" i="1"/>
  <c r="AI8" i="1"/>
  <c r="AI251" i="1"/>
  <c r="AI240" i="1"/>
  <c r="AI229" i="1"/>
  <c r="AI219" i="1"/>
  <c r="AI208" i="1"/>
  <c r="AI197" i="1"/>
  <c r="AI187" i="1"/>
  <c r="AI176" i="1"/>
  <c r="AI165" i="1"/>
  <c r="AI155" i="1"/>
  <c r="AI144" i="1"/>
  <c r="AI133" i="1"/>
  <c r="AI123" i="1"/>
  <c r="AI112" i="1"/>
  <c r="AI101" i="1"/>
  <c r="AI91" i="1"/>
  <c r="AI80" i="1"/>
  <c r="AI69" i="1"/>
  <c r="AI59" i="1"/>
  <c r="AI48" i="1"/>
  <c r="AI37" i="1"/>
  <c r="AI27" i="1"/>
  <c r="AI16" i="1"/>
  <c r="AI5" i="1"/>
  <c r="AI248" i="1"/>
  <c r="AI237" i="1"/>
  <c r="AI227" i="1"/>
  <c r="AI216" i="1"/>
  <c r="AI205" i="1"/>
  <c r="AI195" i="1"/>
  <c r="AI184" i="1"/>
  <c r="AI173" i="1"/>
  <c r="AI163" i="1"/>
  <c r="AI152" i="1"/>
  <c r="AI141" i="1"/>
  <c r="AI131" i="1"/>
  <c r="AI120" i="1"/>
  <c r="AI109" i="1"/>
  <c r="AI99" i="1"/>
  <c r="AI88" i="1"/>
  <c r="AI77" i="1"/>
  <c r="AI67" i="1"/>
  <c r="AI56" i="1"/>
  <c r="AI45" i="1"/>
  <c r="AI35" i="1"/>
  <c r="AI24" i="1"/>
  <c r="AI13" i="1"/>
  <c r="AI4" i="1"/>
  <c r="AI252" i="1"/>
  <c r="AI231" i="1"/>
  <c r="AI209" i="1"/>
  <c r="AI188" i="1"/>
  <c r="AI167" i="1"/>
  <c r="AI145" i="1"/>
  <c r="AI124" i="1"/>
  <c r="AI103" i="1"/>
  <c r="AI84" i="1"/>
  <c r="AI65" i="1"/>
  <c r="AI49" i="1"/>
  <c r="AI32" i="1"/>
  <c r="AI15" i="1"/>
  <c r="AI249" i="1"/>
  <c r="AI228" i="1"/>
  <c r="AI207" i="1"/>
  <c r="AI185" i="1"/>
  <c r="AI164" i="1"/>
  <c r="AI143" i="1"/>
  <c r="AI121" i="1"/>
  <c r="AI100" i="1"/>
  <c r="AI81" i="1"/>
  <c r="AI64" i="1"/>
  <c r="AI47" i="1"/>
  <c r="AI31" i="1"/>
  <c r="AI12" i="1"/>
  <c r="AI247" i="1"/>
  <c r="AI225" i="1"/>
  <c r="AI204" i="1"/>
  <c r="AI183" i="1"/>
  <c r="AI161" i="1"/>
  <c r="AI140" i="1"/>
  <c r="AI119" i="1"/>
  <c r="AI97" i="1"/>
  <c r="AI79" i="1"/>
  <c r="AI63" i="1"/>
  <c r="AI44" i="1"/>
  <c r="AI28" i="1"/>
  <c r="AI11" i="1"/>
  <c r="AI245" i="1"/>
  <c r="AI224" i="1"/>
  <c r="AI203" i="1"/>
  <c r="AI181" i="1"/>
  <c r="AI160" i="1"/>
  <c r="AI139" i="1"/>
  <c r="AI117" i="1"/>
  <c r="AI96" i="1"/>
  <c r="AI76" i="1"/>
  <c r="AI60" i="1"/>
  <c r="AI43" i="1"/>
  <c r="AI25" i="1"/>
  <c r="AI9" i="1"/>
  <c r="AI241" i="1"/>
  <c r="AI220" i="1"/>
  <c r="AI199" i="1"/>
  <c r="AI177" i="1"/>
  <c r="AI156" i="1"/>
  <c r="AI135" i="1"/>
  <c r="AI113" i="1"/>
  <c r="AI92" i="1"/>
  <c r="AI75" i="1"/>
  <c r="AI57" i="1"/>
  <c r="AI41" i="1"/>
  <c r="AI23" i="1"/>
  <c r="AI7" i="1"/>
  <c r="AI239" i="1"/>
  <c r="AI217" i="1"/>
  <c r="AI196" i="1"/>
  <c r="AI175" i="1"/>
  <c r="AI153" i="1"/>
  <c r="AI132" i="1"/>
  <c r="AI111" i="1"/>
  <c r="AI89" i="1"/>
  <c r="AI73" i="1"/>
  <c r="AI55" i="1"/>
  <c r="AI39" i="1"/>
  <c r="AI21" i="1"/>
  <c r="AI236" i="1"/>
  <c r="AI215" i="1"/>
  <c r="AI193" i="1"/>
  <c r="AI172" i="1"/>
  <c r="AI151" i="1"/>
  <c r="AI129" i="1"/>
  <c r="AI108" i="1"/>
  <c r="AI87" i="1"/>
  <c r="AI71" i="1"/>
  <c r="AI53" i="1"/>
  <c r="AI36" i="1"/>
  <c r="AI20" i="1"/>
  <c r="AI235" i="1"/>
  <c r="AI213" i="1"/>
  <c r="AI192" i="1"/>
  <c r="AI171" i="1"/>
  <c r="AI149" i="1"/>
  <c r="AI128" i="1"/>
  <c r="AI107" i="1"/>
  <c r="AI85" i="1"/>
  <c r="AI68" i="1"/>
  <c r="AI52" i="1"/>
  <c r="AI33" i="1"/>
  <c r="AI17" i="1"/>
  <c r="V46" i="1"/>
  <c r="Z18" i="1"/>
  <c r="AN248" i="1"/>
  <c r="AN240" i="1"/>
  <c r="AN232" i="1"/>
  <c r="AN224" i="1"/>
  <c r="AN216" i="1"/>
  <c r="AN208" i="1"/>
  <c r="AN200" i="1"/>
  <c r="AN192" i="1"/>
  <c r="AN246" i="1"/>
  <c r="AN237" i="1"/>
  <c r="AN228" i="1"/>
  <c r="AN219" i="1"/>
  <c r="AN210" i="1"/>
  <c r="AN201" i="1"/>
  <c r="AN191" i="1"/>
  <c r="AN183" i="1"/>
  <c r="AN175" i="1"/>
  <c r="AN167" i="1"/>
  <c r="AN159" i="1"/>
  <c r="AN151" i="1"/>
  <c r="AN143" i="1"/>
  <c r="AN135" i="1"/>
  <c r="AN127" i="1"/>
  <c r="AN119" i="1"/>
  <c r="AN111" i="1"/>
  <c r="AN103" i="1"/>
  <c r="AN95" i="1"/>
  <c r="AN87" i="1"/>
  <c r="AN79" i="1"/>
  <c r="AN71" i="1"/>
  <c r="AN63" i="1"/>
  <c r="AN55" i="1"/>
  <c r="AN47" i="1"/>
  <c r="AN39" i="1"/>
  <c r="AN31" i="1"/>
  <c r="AN23" i="1"/>
  <c r="AN15" i="1"/>
  <c r="AN7" i="1"/>
  <c r="AN253" i="1"/>
  <c r="AN244" i="1"/>
  <c r="AN235" i="1"/>
  <c r="AN226" i="1"/>
  <c r="AN217" i="1"/>
  <c r="AN207" i="1"/>
  <c r="AN198" i="1"/>
  <c r="AN189" i="1"/>
  <c r="AN181" i="1"/>
  <c r="AN173" i="1"/>
  <c r="AN165" i="1"/>
  <c r="AN157" i="1"/>
  <c r="AN149" i="1"/>
  <c r="AN141" i="1"/>
  <c r="AN133" i="1"/>
  <c r="AN125" i="1"/>
  <c r="AN117" i="1"/>
  <c r="AN109" i="1"/>
  <c r="AN101" i="1"/>
  <c r="AN93" i="1"/>
  <c r="AN85" i="1"/>
  <c r="AN77" i="1"/>
  <c r="AN69" i="1"/>
  <c r="AN61" i="1"/>
  <c r="AN53" i="1"/>
  <c r="AN45" i="1"/>
  <c r="AN37" i="1"/>
  <c r="AN29" i="1"/>
  <c r="AN21" i="1"/>
  <c r="AN13" i="1"/>
  <c r="AN5" i="1"/>
  <c r="AN251" i="1"/>
  <c r="AN242" i="1"/>
  <c r="AN233" i="1"/>
  <c r="AN223" i="1"/>
  <c r="AN214" i="1"/>
  <c r="AN205" i="1"/>
  <c r="AN196" i="1"/>
  <c r="AN187" i="1"/>
  <c r="AN179" i="1"/>
  <c r="AN171" i="1"/>
  <c r="AN163" i="1"/>
  <c r="AN155" i="1"/>
  <c r="AN147" i="1"/>
  <c r="AN139" i="1"/>
  <c r="AN131" i="1"/>
  <c r="AN123" i="1"/>
  <c r="AN115" i="1"/>
  <c r="AN107" i="1"/>
  <c r="AN99" i="1"/>
  <c r="AN91" i="1"/>
  <c r="AN83" i="1"/>
  <c r="AN75" i="1"/>
  <c r="AN67" i="1"/>
  <c r="AN59" i="1"/>
  <c r="AN51" i="1"/>
  <c r="AN43" i="1"/>
  <c r="AN35" i="1"/>
  <c r="AN27" i="1"/>
  <c r="AN19" i="1"/>
  <c r="AN11" i="1"/>
  <c r="AN4" i="1"/>
  <c r="AN239" i="1"/>
  <c r="AN225" i="1"/>
  <c r="AN211" i="1"/>
  <c r="AN195" i="1"/>
  <c r="AN182" i="1"/>
  <c r="AN169" i="1"/>
  <c r="AN156" i="1"/>
  <c r="AN144" i="1"/>
  <c r="AN130" i="1"/>
  <c r="AN118" i="1"/>
  <c r="AN105" i="1"/>
  <c r="AN92" i="1"/>
  <c r="AN80" i="1"/>
  <c r="AN66" i="1"/>
  <c r="AN54" i="1"/>
  <c r="AN41" i="1"/>
  <c r="AN28" i="1"/>
  <c r="AN16" i="1"/>
  <c r="AN252" i="1"/>
  <c r="AN238" i="1"/>
  <c r="AN222" i="1"/>
  <c r="AN209" i="1"/>
  <c r="AN194" i="1"/>
  <c r="AN180" i="1"/>
  <c r="AN168" i="1"/>
  <c r="AN154" i="1"/>
  <c r="AN142" i="1"/>
  <c r="AN129" i="1"/>
  <c r="AN116" i="1"/>
  <c r="AN104" i="1"/>
  <c r="AN90" i="1"/>
  <c r="AN78" i="1"/>
  <c r="AN65" i="1"/>
  <c r="AN52" i="1"/>
  <c r="AN40" i="1"/>
  <c r="AN26" i="1"/>
  <c r="AN14" i="1"/>
  <c r="AN249" i="1"/>
  <c r="AN234" i="1"/>
  <c r="AN220" i="1"/>
  <c r="AN204" i="1"/>
  <c r="AN190" i="1"/>
  <c r="AN177" i="1"/>
  <c r="AN164" i="1"/>
  <c r="AN152" i="1"/>
  <c r="AN138" i="1"/>
  <c r="AN126" i="1"/>
  <c r="AN113" i="1"/>
  <c r="AN100" i="1"/>
  <c r="AN88" i="1"/>
  <c r="AN74" i="1"/>
  <c r="AN62" i="1"/>
  <c r="AN49" i="1"/>
  <c r="AN36" i="1"/>
  <c r="AN24" i="1"/>
  <c r="AN10" i="1"/>
  <c r="AN245" i="1"/>
  <c r="AN230" i="1"/>
  <c r="AN215" i="1"/>
  <c r="AN202" i="1"/>
  <c r="AN186" i="1"/>
  <c r="AN174" i="1"/>
  <c r="AN161" i="1"/>
  <c r="AN148" i="1"/>
  <c r="AN136" i="1"/>
  <c r="AN122" i="1"/>
  <c r="AN110" i="1"/>
  <c r="AN97" i="1"/>
  <c r="AN84" i="1"/>
  <c r="AN72" i="1"/>
  <c r="AN58" i="1"/>
  <c r="AN46" i="1"/>
  <c r="AN33" i="1"/>
  <c r="AN20" i="1"/>
  <c r="AN8" i="1"/>
  <c r="AN236" i="1"/>
  <c r="AN206" i="1"/>
  <c r="AN178" i="1"/>
  <c r="AN153" i="1"/>
  <c r="AN128" i="1"/>
  <c r="AN102" i="1"/>
  <c r="AN76" i="1"/>
  <c r="AN50" i="1"/>
  <c r="AN25" i="1"/>
  <c r="AN231" i="1"/>
  <c r="AN203" i="1"/>
  <c r="AN176" i="1"/>
  <c r="AN150" i="1"/>
  <c r="AN124" i="1"/>
  <c r="AN98" i="1"/>
  <c r="AN73" i="1"/>
  <c r="AN48" i="1"/>
  <c r="AN22" i="1"/>
  <c r="AN229" i="1"/>
  <c r="AN199" i="1"/>
  <c r="AN172" i="1"/>
  <c r="AN146" i="1"/>
  <c r="AN121" i="1"/>
  <c r="AN96" i="1"/>
  <c r="AN70" i="1"/>
  <c r="AN44" i="1"/>
  <c r="AN18" i="1"/>
  <c r="AN227" i="1"/>
  <c r="AN197" i="1"/>
  <c r="AN170" i="1"/>
  <c r="AN145" i="1"/>
  <c r="AN120" i="1"/>
  <c r="AN94" i="1"/>
  <c r="AN68" i="1"/>
  <c r="AN42" i="1"/>
  <c r="AN17" i="1"/>
  <c r="AN250" i="1"/>
  <c r="AN221" i="1"/>
  <c r="AN193" i="1"/>
  <c r="AN166" i="1"/>
  <c r="AN140" i="1"/>
  <c r="AN114" i="1"/>
  <c r="AN89" i="1"/>
  <c r="AN64" i="1"/>
  <c r="AN38" i="1"/>
  <c r="AN12" i="1"/>
  <c r="AN247" i="1"/>
  <c r="AN218" i="1"/>
  <c r="AN188" i="1"/>
  <c r="AN162" i="1"/>
  <c r="AN137" i="1"/>
  <c r="AN112" i="1"/>
  <c r="AN86" i="1"/>
  <c r="AN60" i="1"/>
  <c r="AN34" i="1"/>
  <c r="AN9" i="1"/>
  <c r="AN243" i="1"/>
  <c r="AN213" i="1"/>
  <c r="AN185" i="1"/>
  <c r="AN160" i="1"/>
  <c r="AN134" i="1"/>
  <c r="AN108" i="1"/>
  <c r="AN82" i="1"/>
  <c r="AN57" i="1"/>
  <c r="AN32" i="1"/>
  <c r="AN6" i="1"/>
  <c r="AN241" i="1"/>
  <c r="AN212" i="1"/>
  <c r="AN184" i="1"/>
  <c r="AN158" i="1"/>
  <c r="AN132" i="1"/>
  <c r="AN106" i="1"/>
  <c r="AN81" i="1"/>
  <c r="AN56" i="1"/>
  <c r="AN30" i="1"/>
  <c r="Y48" i="1"/>
  <c r="V43" i="1"/>
  <c r="V45" i="1"/>
  <c r="X44" i="1" l="1"/>
  <c r="AL4" i="1" a="1"/>
  <c r="AM4" i="1" a="1"/>
  <c r="X48" i="1"/>
  <c r="Y49" i="1" s="1"/>
  <c r="Y45" i="1"/>
  <c r="AM250" i="1" l="1"/>
  <c r="AM242" i="1"/>
  <c r="AM234" i="1"/>
  <c r="AM226" i="1"/>
  <c r="AM218" i="1"/>
  <c r="AM210" i="1"/>
  <c r="AM202" i="1"/>
  <c r="AM194" i="1"/>
  <c r="AM186" i="1"/>
  <c r="AM178" i="1"/>
  <c r="AM170" i="1"/>
  <c r="AM162" i="1"/>
  <c r="AM154" i="1"/>
  <c r="AM146" i="1"/>
  <c r="AM138" i="1"/>
  <c r="AM130" i="1"/>
  <c r="AM122" i="1"/>
  <c r="AM114" i="1"/>
  <c r="AM106" i="1"/>
  <c r="AM98" i="1"/>
  <c r="AM90" i="1"/>
  <c r="AM82" i="1"/>
  <c r="AM74" i="1"/>
  <c r="AM66" i="1"/>
  <c r="AM58" i="1"/>
  <c r="AM50" i="1"/>
  <c r="AM42" i="1"/>
  <c r="AM34" i="1"/>
  <c r="AM26" i="1"/>
  <c r="AM18" i="1"/>
  <c r="AM10" i="1"/>
  <c r="AM248" i="1"/>
  <c r="AM240" i="1"/>
  <c r="AM232" i="1"/>
  <c r="AM224" i="1"/>
  <c r="AM216" i="1"/>
  <c r="AM208" i="1"/>
  <c r="AM200" i="1"/>
  <c r="AM192" i="1"/>
  <c r="AM184" i="1"/>
  <c r="AM176" i="1"/>
  <c r="AM168" i="1"/>
  <c r="AM160" i="1"/>
  <c r="AM152" i="1"/>
  <c r="AM144" i="1"/>
  <c r="AM136" i="1"/>
  <c r="AM128" i="1"/>
  <c r="AM120" i="1"/>
  <c r="AM112" i="1"/>
  <c r="AM104" i="1"/>
  <c r="AM96" i="1"/>
  <c r="AM88" i="1"/>
  <c r="AM80" i="1"/>
  <c r="AM72" i="1"/>
  <c r="AM64" i="1"/>
  <c r="AM56" i="1"/>
  <c r="AM48" i="1"/>
  <c r="AM40" i="1"/>
  <c r="AM32" i="1"/>
  <c r="AM24" i="1"/>
  <c r="AM16" i="1"/>
  <c r="AM8" i="1"/>
  <c r="AM246" i="1"/>
  <c r="AM238" i="1"/>
  <c r="AM230" i="1"/>
  <c r="AM222" i="1"/>
  <c r="AM214" i="1"/>
  <c r="AM206" i="1"/>
  <c r="AM198" i="1"/>
  <c r="AM190" i="1"/>
  <c r="AM182" i="1"/>
  <c r="AM174" i="1"/>
  <c r="AM166" i="1"/>
  <c r="AM158" i="1"/>
  <c r="AM150" i="1"/>
  <c r="AM142" i="1"/>
  <c r="AM134" i="1"/>
  <c r="AM126" i="1"/>
  <c r="AM118" i="1"/>
  <c r="AM110" i="1"/>
  <c r="AM102" i="1"/>
  <c r="AM94" i="1"/>
  <c r="AM86" i="1"/>
  <c r="AM78" i="1"/>
  <c r="AM70" i="1"/>
  <c r="AM62" i="1"/>
  <c r="AM54" i="1"/>
  <c r="AM46" i="1"/>
  <c r="AM38" i="1"/>
  <c r="AM30" i="1"/>
  <c r="AM22" i="1"/>
  <c r="AM14" i="1"/>
  <c r="AM6" i="1"/>
  <c r="AM253" i="1"/>
  <c r="AM241" i="1"/>
  <c r="AM228" i="1"/>
  <c r="AM215" i="1"/>
  <c r="AM203" i="1"/>
  <c r="AM189" i="1"/>
  <c r="AM177" i="1"/>
  <c r="AM164" i="1"/>
  <c r="AM151" i="1"/>
  <c r="AM139" i="1"/>
  <c r="AM125" i="1"/>
  <c r="AM113" i="1"/>
  <c r="AM100" i="1"/>
  <c r="AM87" i="1"/>
  <c r="AM75" i="1"/>
  <c r="AM61" i="1"/>
  <c r="AM49" i="1"/>
  <c r="AM36" i="1"/>
  <c r="AM23" i="1"/>
  <c r="AM11" i="1"/>
  <c r="AM252" i="1"/>
  <c r="AM239" i="1"/>
  <c r="AM227" i="1"/>
  <c r="AM213" i="1"/>
  <c r="AM201" i="1"/>
  <c r="AM188" i="1"/>
  <c r="AM175" i="1"/>
  <c r="AM163" i="1"/>
  <c r="AM149" i="1"/>
  <c r="AM137" i="1"/>
  <c r="AM124" i="1"/>
  <c r="AM111" i="1"/>
  <c r="AM99" i="1"/>
  <c r="AM85" i="1"/>
  <c r="AM73" i="1"/>
  <c r="AM60" i="1"/>
  <c r="AM47" i="1"/>
  <c r="AM35" i="1"/>
  <c r="AM21" i="1"/>
  <c r="AM9" i="1"/>
  <c r="AM249" i="1"/>
  <c r="AM236" i="1"/>
  <c r="AM223" i="1"/>
  <c r="AM211" i="1"/>
  <c r="AM197" i="1"/>
  <c r="AM185" i="1"/>
  <c r="AM172" i="1"/>
  <c r="AM159" i="1"/>
  <c r="AM147" i="1"/>
  <c r="AM133" i="1"/>
  <c r="AM121" i="1"/>
  <c r="AM108" i="1"/>
  <c r="AM95" i="1"/>
  <c r="AM83" i="1"/>
  <c r="AM69" i="1"/>
  <c r="AM57" i="1"/>
  <c r="AM44" i="1"/>
  <c r="AM31" i="1"/>
  <c r="AM19" i="1"/>
  <c r="AM5" i="1"/>
  <c r="AM245" i="1"/>
  <c r="AM233" i="1"/>
  <c r="AM220" i="1"/>
  <c r="AM207" i="1"/>
  <c r="AM195" i="1"/>
  <c r="AM181" i="1"/>
  <c r="AM169" i="1"/>
  <c r="AM156" i="1"/>
  <c r="AM143" i="1"/>
  <c r="AM131" i="1"/>
  <c r="AM117" i="1"/>
  <c r="AM105" i="1"/>
  <c r="AM92" i="1"/>
  <c r="AM79" i="1"/>
  <c r="AM67" i="1"/>
  <c r="AM53" i="1"/>
  <c r="AM41" i="1"/>
  <c r="AM28" i="1"/>
  <c r="AM15" i="1"/>
  <c r="AM4" i="1"/>
  <c r="AM251" i="1"/>
  <c r="AM225" i="1"/>
  <c r="AM199" i="1"/>
  <c r="AM173" i="1"/>
  <c r="AM148" i="1"/>
  <c r="AM123" i="1"/>
  <c r="AM97" i="1"/>
  <c r="AM71" i="1"/>
  <c r="AM45" i="1"/>
  <c r="AM20" i="1"/>
  <c r="AM247" i="1"/>
  <c r="AM221" i="1"/>
  <c r="AM196" i="1"/>
  <c r="AM171" i="1"/>
  <c r="AM145" i="1"/>
  <c r="AM119" i="1"/>
  <c r="AM93" i="1"/>
  <c r="AM68" i="1"/>
  <c r="AM43" i="1"/>
  <c r="AM17" i="1"/>
  <c r="AM244" i="1"/>
  <c r="AM219" i="1"/>
  <c r="AM193" i="1"/>
  <c r="AM167" i="1"/>
  <c r="AM141" i="1"/>
  <c r="AM116" i="1"/>
  <c r="AM91" i="1"/>
  <c r="AM65" i="1"/>
  <c r="AM39" i="1"/>
  <c r="AM13" i="1"/>
  <c r="AM243" i="1"/>
  <c r="AM217" i="1"/>
  <c r="AM191" i="1"/>
  <c r="AM165" i="1"/>
  <c r="AM140" i="1"/>
  <c r="AM115" i="1"/>
  <c r="AM89" i="1"/>
  <c r="AM63" i="1"/>
  <c r="AM37" i="1"/>
  <c r="AM12" i="1"/>
  <c r="AM237" i="1"/>
  <c r="AM212" i="1"/>
  <c r="AM187" i="1"/>
  <c r="AM161" i="1"/>
  <c r="AM135" i="1"/>
  <c r="AM109" i="1"/>
  <c r="AM84" i="1"/>
  <c r="AM59" i="1"/>
  <c r="AM33" i="1"/>
  <c r="AM7" i="1"/>
  <c r="AM235" i="1"/>
  <c r="AM209" i="1"/>
  <c r="AM183" i="1"/>
  <c r="AM157" i="1"/>
  <c r="AM132" i="1"/>
  <c r="AM107" i="1"/>
  <c r="AM81" i="1"/>
  <c r="AM55" i="1"/>
  <c r="AM29" i="1"/>
  <c r="AM231" i="1"/>
  <c r="AM205" i="1"/>
  <c r="AM180" i="1"/>
  <c r="AM155" i="1"/>
  <c r="AM129" i="1"/>
  <c r="AM103" i="1"/>
  <c r="AM77" i="1"/>
  <c r="AM52" i="1"/>
  <c r="AM27" i="1"/>
  <c r="AM229" i="1"/>
  <c r="AM204" i="1"/>
  <c r="AM179" i="1"/>
  <c r="AM153" i="1"/>
  <c r="AM127" i="1"/>
  <c r="AM101" i="1"/>
  <c r="AM76" i="1"/>
  <c r="AM51" i="1"/>
  <c r="AM25" i="1"/>
  <c r="AL253" i="1"/>
  <c r="AL245" i="1"/>
  <c r="AL237" i="1"/>
  <c r="AL229" i="1"/>
  <c r="AL221" i="1"/>
  <c r="AL213" i="1"/>
  <c r="AL205" i="1"/>
  <c r="AL197" i="1"/>
  <c r="AL189" i="1"/>
  <c r="AL181" i="1"/>
  <c r="AL173" i="1"/>
  <c r="AL165" i="1"/>
  <c r="AL157" i="1"/>
  <c r="AL149" i="1"/>
  <c r="AL141" i="1"/>
  <c r="AL133" i="1"/>
  <c r="AL125" i="1"/>
  <c r="AL117" i="1"/>
  <c r="AL109" i="1"/>
  <c r="AL101" i="1"/>
  <c r="AL93" i="1"/>
  <c r="AL85" i="1"/>
  <c r="AL77" i="1"/>
  <c r="AL69" i="1"/>
  <c r="AL61" i="1"/>
  <c r="AL53" i="1"/>
  <c r="AL45" i="1"/>
  <c r="AL37" i="1"/>
  <c r="AL29" i="1"/>
  <c r="AL21" i="1"/>
  <c r="AL13" i="1"/>
  <c r="AL5" i="1"/>
  <c r="AL251" i="1"/>
  <c r="AL243" i="1"/>
  <c r="AL235" i="1"/>
  <c r="AL227" i="1"/>
  <c r="AL219" i="1"/>
  <c r="AL211" i="1"/>
  <c r="AL203" i="1"/>
  <c r="AL195" i="1"/>
  <c r="AL187" i="1"/>
  <c r="AL179" i="1"/>
  <c r="AL171" i="1"/>
  <c r="AL163" i="1"/>
  <c r="AL155" i="1"/>
  <c r="AL147" i="1"/>
  <c r="AL139" i="1"/>
  <c r="AL131" i="1"/>
  <c r="AL123" i="1"/>
  <c r="AL115" i="1"/>
  <c r="AL107" i="1"/>
  <c r="AL99" i="1"/>
  <c r="AL91" i="1"/>
  <c r="AL83" i="1"/>
  <c r="AL75" i="1"/>
  <c r="AL67" i="1"/>
  <c r="AL59" i="1"/>
  <c r="AL51" i="1"/>
  <c r="AL43" i="1"/>
  <c r="AL35" i="1"/>
  <c r="AL27" i="1"/>
  <c r="AL19" i="1"/>
  <c r="AL11" i="1"/>
  <c r="AL4" i="1"/>
  <c r="AL249" i="1"/>
  <c r="AL241" i="1"/>
  <c r="AL233" i="1"/>
  <c r="AL225" i="1"/>
  <c r="AL217" i="1"/>
  <c r="AL209" i="1"/>
  <c r="AL201" i="1"/>
  <c r="AL193" i="1"/>
  <c r="AL185" i="1"/>
  <c r="AL177" i="1"/>
  <c r="AL169" i="1"/>
  <c r="AL161" i="1"/>
  <c r="AL153" i="1"/>
  <c r="AL145" i="1"/>
  <c r="AL137" i="1"/>
  <c r="AL129" i="1"/>
  <c r="AL121" i="1"/>
  <c r="AL113" i="1"/>
  <c r="AL105" i="1"/>
  <c r="AL97" i="1"/>
  <c r="AL89" i="1"/>
  <c r="AL81" i="1"/>
  <c r="AL73" i="1"/>
  <c r="AL65" i="1"/>
  <c r="AL57" i="1"/>
  <c r="AL49" i="1"/>
  <c r="AL41" i="1"/>
  <c r="AL33" i="1"/>
  <c r="AL25" i="1"/>
  <c r="AL17" i="1"/>
  <c r="AL9" i="1"/>
  <c r="AL248" i="1"/>
  <c r="AL236" i="1"/>
  <c r="AL223" i="1"/>
  <c r="AL210" i="1"/>
  <c r="AL198" i="1"/>
  <c r="AL184" i="1"/>
  <c r="AL172" i="1"/>
  <c r="AL159" i="1"/>
  <c r="AL146" i="1"/>
  <c r="AL134" i="1"/>
  <c r="AL120" i="1"/>
  <c r="AL108" i="1"/>
  <c r="AL95" i="1"/>
  <c r="AL82" i="1"/>
  <c r="AL70" i="1"/>
  <c r="AL56" i="1"/>
  <c r="AL44" i="1"/>
  <c r="AL31" i="1"/>
  <c r="AL18" i="1"/>
  <c r="AL6" i="1"/>
  <c r="AL247" i="1"/>
  <c r="AL234" i="1"/>
  <c r="AL222" i="1"/>
  <c r="AL208" i="1"/>
  <c r="AL196" i="1"/>
  <c r="AL183" i="1"/>
  <c r="AL170" i="1"/>
  <c r="AL158" i="1"/>
  <c r="AL144" i="1"/>
  <c r="AL132" i="1"/>
  <c r="AL119" i="1"/>
  <c r="AL106" i="1"/>
  <c r="AL94" i="1"/>
  <c r="AL80" i="1"/>
  <c r="AL68" i="1"/>
  <c r="AL55" i="1"/>
  <c r="AL42" i="1"/>
  <c r="AL30" i="1"/>
  <c r="AL16" i="1"/>
  <c r="AL244" i="1"/>
  <c r="AL231" i="1"/>
  <c r="AL218" i="1"/>
  <c r="AL206" i="1"/>
  <c r="AL192" i="1"/>
  <c r="AL180" i="1"/>
  <c r="AL167" i="1"/>
  <c r="AL154" i="1"/>
  <c r="AL142" i="1"/>
  <c r="AL128" i="1"/>
  <c r="AL116" i="1"/>
  <c r="AL103" i="1"/>
  <c r="AL90" i="1"/>
  <c r="AL78" i="1"/>
  <c r="AL64" i="1"/>
  <c r="AL52" i="1"/>
  <c r="AL39" i="1"/>
  <c r="AL26" i="1"/>
  <c r="AL14" i="1"/>
  <c r="AL240" i="1"/>
  <c r="AL228" i="1"/>
  <c r="AL215" i="1"/>
  <c r="AL202" i="1"/>
  <c r="AL190" i="1"/>
  <c r="AL176" i="1"/>
  <c r="AL164" i="1"/>
  <c r="AL151" i="1"/>
  <c r="AL138" i="1"/>
  <c r="AL126" i="1"/>
  <c r="AL112" i="1"/>
  <c r="AL100" i="1"/>
  <c r="AL87" i="1"/>
  <c r="AL74" i="1"/>
  <c r="AL62" i="1"/>
  <c r="AL48" i="1"/>
  <c r="AL36" i="1"/>
  <c r="AL23" i="1"/>
  <c r="AL10" i="1"/>
  <c r="AL246" i="1"/>
  <c r="AL220" i="1"/>
  <c r="AL194" i="1"/>
  <c r="AL168" i="1"/>
  <c r="AL143" i="1"/>
  <c r="AL118" i="1"/>
  <c r="AL92" i="1"/>
  <c r="AL66" i="1"/>
  <c r="AL40" i="1"/>
  <c r="AL15" i="1"/>
  <c r="AL242" i="1"/>
  <c r="AL216" i="1"/>
  <c r="AL191" i="1"/>
  <c r="AL166" i="1"/>
  <c r="AL140" i="1"/>
  <c r="AL114" i="1"/>
  <c r="AL88" i="1"/>
  <c r="AL63" i="1"/>
  <c r="AL38" i="1"/>
  <c r="AL12" i="1"/>
  <c r="AL239" i="1"/>
  <c r="AL214" i="1"/>
  <c r="AL188" i="1"/>
  <c r="AL162" i="1"/>
  <c r="AL136" i="1"/>
  <c r="AL111" i="1"/>
  <c r="AL86" i="1"/>
  <c r="AL60" i="1"/>
  <c r="AL34" i="1"/>
  <c r="AL8" i="1"/>
  <c r="AL238" i="1"/>
  <c r="AL212" i="1"/>
  <c r="AL186" i="1"/>
  <c r="AL160" i="1"/>
  <c r="AL135" i="1"/>
  <c r="AL110" i="1"/>
  <c r="AL84" i="1"/>
  <c r="AL58" i="1"/>
  <c r="AL32" i="1"/>
  <c r="AL7" i="1"/>
  <c r="AL232" i="1"/>
  <c r="AL207" i="1"/>
  <c r="AL182" i="1"/>
  <c r="AL156" i="1"/>
  <c r="AL130" i="1"/>
  <c r="AL104" i="1"/>
  <c r="AL79" i="1"/>
  <c r="AL54" i="1"/>
  <c r="AL28" i="1"/>
  <c r="AL230" i="1"/>
  <c r="AL204" i="1"/>
  <c r="AL178" i="1"/>
  <c r="AL152" i="1"/>
  <c r="AL127" i="1"/>
  <c r="AL102" i="1"/>
  <c r="AL76" i="1"/>
  <c r="AL50" i="1"/>
  <c r="AL24" i="1"/>
  <c r="AL252" i="1"/>
  <c r="AL226" i="1"/>
  <c r="AL200" i="1"/>
  <c r="AL175" i="1"/>
  <c r="AL150" i="1"/>
  <c r="AL124" i="1"/>
  <c r="AL98" i="1"/>
  <c r="AL72" i="1"/>
  <c r="AL47" i="1"/>
  <c r="AL22" i="1"/>
  <c r="AL250" i="1"/>
  <c r="AL224" i="1"/>
  <c r="AL199" i="1"/>
  <c r="AL174" i="1"/>
  <c r="AL148" i="1"/>
  <c r="AL122" i="1"/>
  <c r="AL96" i="1"/>
  <c r="AL71" i="1"/>
  <c r="AL46" i="1"/>
  <c r="AL20" i="1"/>
  <c r="AO4" i="1" l="1" a="1"/>
  <c r="AO253" i="1" l="1"/>
  <c r="AO245" i="1"/>
  <c r="AO237" i="1"/>
  <c r="AO229" i="1"/>
  <c r="AO221" i="1"/>
  <c r="AO213" i="1"/>
  <c r="AO205" i="1"/>
  <c r="AO197" i="1"/>
  <c r="AO189" i="1"/>
  <c r="AO181" i="1"/>
  <c r="AO173" i="1"/>
  <c r="AO165" i="1"/>
  <c r="AO157" i="1"/>
  <c r="AO149" i="1"/>
  <c r="AO141" i="1"/>
  <c r="AO133" i="1"/>
  <c r="AO125" i="1"/>
  <c r="AO117" i="1"/>
  <c r="AO109" i="1"/>
  <c r="AO101" i="1"/>
  <c r="AO93" i="1"/>
  <c r="AO85" i="1"/>
  <c r="AO77" i="1"/>
  <c r="AO69" i="1"/>
  <c r="AO61" i="1"/>
  <c r="AO53" i="1"/>
  <c r="AO45" i="1"/>
  <c r="AO37" i="1"/>
  <c r="AO29" i="1"/>
  <c r="AO21" i="1"/>
  <c r="AO13" i="1"/>
  <c r="AO5" i="1"/>
  <c r="AO251" i="1"/>
  <c r="AO242" i="1"/>
  <c r="AO233" i="1"/>
  <c r="AO224" i="1"/>
  <c r="AO215" i="1"/>
  <c r="AO206" i="1"/>
  <c r="AO196" i="1"/>
  <c r="AO187" i="1"/>
  <c r="AO178" i="1"/>
  <c r="AO169" i="1"/>
  <c r="AO160" i="1"/>
  <c r="AO151" i="1"/>
  <c r="AO142" i="1"/>
  <c r="AO132" i="1"/>
  <c r="AO123" i="1"/>
  <c r="AO114" i="1"/>
  <c r="AO105" i="1"/>
  <c r="AO96" i="1"/>
  <c r="AO87" i="1"/>
  <c r="AO78" i="1"/>
  <c r="AO68" i="1"/>
  <c r="AO59" i="1"/>
  <c r="AO50" i="1"/>
  <c r="AO41" i="1"/>
  <c r="AO32" i="1"/>
  <c r="AO23" i="1"/>
  <c r="AO14" i="1"/>
  <c r="AO249" i="1"/>
  <c r="AO240" i="1"/>
  <c r="AO231" i="1"/>
  <c r="AO222" i="1"/>
  <c r="AO212" i="1"/>
  <c r="AO203" i="1"/>
  <c r="AO194" i="1"/>
  <c r="AO185" i="1"/>
  <c r="AO176" i="1"/>
  <c r="AO167" i="1"/>
  <c r="AO158" i="1"/>
  <c r="AO148" i="1"/>
  <c r="AO139" i="1"/>
  <c r="AO130" i="1"/>
  <c r="AO121" i="1"/>
  <c r="AO112" i="1"/>
  <c r="AO103" i="1"/>
  <c r="AO94" i="1"/>
  <c r="AO84" i="1"/>
  <c r="AO75" i="1"/>
  <c r="AO66" i="1"/>
  <c r="AO57" i="1"/>
  <c r="AO48" i="1"/>
  <c r="AO39" i="1"/>
  <c r="AO30" i="1"/>
  <c r="AO20" i="1"/>
  <c r="AO11" i="1"/>
  <c r="AO247" i="1"/>
  <c r="AO238" i="1"/>
  <c r="AO228" i="1"/>
  <c r="AO219" i="1"/>
  <c r="AO210" i="1"/>
  <c r="AO201" i="1"/>
  <c r="AO192" i="1"/>
  <c r="AO183" i="1"/>
  <c r="AO174" i="1"/>
  <c r="AO164" i="1"/>
  <c r="AO155" i="1"/>
  <c r="AO146" i="1"/>
  <c r="AO137" i="1"/>
  <c r="AO128" i="1"/>
  <c r="AO119" i="1"/>
  <c r="AO110" i="1"/>
  <c r="AO100" i="1"/>
  <c r="AO91" i="1"/>
  <c r="AO82" i="1"/>
  <c r="AO73" i="1"/>
  <c r="AO64" i="1"/>
  <c r="AO55" i="1"/>
  <c r="AO46" i="1"/>
  <c r="AO36" i="1"/>
  <c r="AO27" i="1"/>
  <c r="AO18" i="1"/>
  <c r="AO9" i="1"/>
  <c r="AO252" i="1"/>
  <c r="AO236" i="1"/>
  <c r="AO223" i="1"/>
  <c r="AO208" i="1"/>
  <c r="AO193" i="1"/>
  <c r="AO179" i="1"/>
  <c r="AO163" i="1"/>
  <c r="AO150" i="1"/>
  <c r="AO135" i="1"/>
  <c r="AO120" i="1"/>
  <c r="AO106" i="1"/>
  <c r="AO90" i="1"/>
  <c r="AO76" i="1"/>
  <c r="AO62" i="1"/>
  <c r="AO47" i="1"/>
  <c r="AO33" i="1"/>
  <c r="AO17" i="1"/>
  <c r="AO4" i="1"/>
  <c r="AO250" i="1"/>
  <c r="AO235" i="1"/>
  <c r="AO220" i="1"/>
  <c r="AO207" i="1"/>
  <c r="AO191" i="1"/>
  <c r="AO177" i="1"/>
  <c r="AO162" i="1"/>
  <c r="AO147" i="1"/>
  <c r="AO134" i="1"/>
  <c r="AO118" i="1"/>
  <c r="AO104" i="1"/>
  <c r="AO89" i="1"/>
  <c r="AO74" i="1"/>
  <c r="AO60" i="1"/>
  <c r="AO44" i="1"/>
  <c r="AO31" i="1"/>
  <c r="AO16" i="1"/>
  <c r="AO246" i="1"/>
  <c r="AO232" i="1"/>
  <c r="AO217" i="1"/>
  <c r="AO202" i="1"/>
  <c r="AO188" i="1"/>
  <c r="AO172" i="1"/>
  <c r="AO159" i="1"/>
  <c r="AO144" i="1"/>
  <c r="AO129" i="1"/>
  <c r="AO115" i="1"/>
  <c r="AO99" i="1"/>
  <c r="AO86" i="1"/>
  <c r="AO71" i="1"/>
  <c r="AO56" i="1"/>
  <c r="AO42" i="1"/>
  <c r="AO26" i="1"/>
  <c r="AO12" i="1"/>
  <c r="AO243" i="1"/>
  <c r="AO227" i="1"/>
  <c r="AO214" i="1"/>
  <c r="AO199" i="1"/>
  <c r="AO184" i="1"/>
  <c r="AO170" i="1"/>
  <c r="AO154" i="1"/>
  <c r="AO140" i="1"/>
  <c r="AO126" i="1"/>
  <c r="AO111" i="1"/>
  <c r="AO97" i="1"/>
  <c r="AO81" i="1"/>
  <c r="AO67" i="1"/>
  <c r="AO52" i="1"/>
  <c r="AO38" i="1"/>
  <c r="AO24" i="1"/>
  <c r="AO8" i="1"/>
  <c r="AO248" i="1"/>
  <c r="AO218" i="1"/>
  <c r="AO190" i="1"/>
  <c r="AO161" i="1"/>
  <c r="AO131" i="1"/>
  <c r="AO102" i="1"/>
  <c r="AO72" i="1"/>
  <c r="AO43" i="1"/>
  <c r="AO15" i="1"/>
  <c r="AO244" i="1"/>
  <c r="AO216" i="1"/>
  <c r="AO186" i="1"/>
  <c r="AO156" i="1"/>
  <c r="AO127" i="1"/>
  <c r="AO98" i="1"/>
  <c r="AO70" i="1"/>
  <c r="AO40" i="1"/>
  <c r="AO10" i="1"/>
  <c r="AO241" i="1"/>
  <c r="AO211" i="1"/>
  <c r="AO182" i="1"/>
  <c r="AO153" i="1"/>
  <c r="AO124" i="1"/>
  <c r="AO95" i="1"/>
  <c r="AO65" i="1"/>
  <c r="AO35" i="1"/>
  <c r="AO7" i="1"/>
  <c r="AO239" i="1"/>
  <c r="AO209" i="1"/>
  <c r="AO180" i="1"/>
  <c r="AO152" i="1"/>
  <c r="AO122" i="1"/>
  <c r="AO92" i="1"/>
  <c r="AO63" i="1"/>
  <c r="AO34" i="1"/>
  <c r="AO6" i="1"/>
  <c r="AO234" i="1"/>
  <c r="AO204" i="1"/>
  <c r="AO175" i="1"/>
  <c r="AO145" i="1"/>
  <c r="AO116" i="1"/>
  <c r="AO88" i="1"/>
  <c r="AO58" i="1"/>
  <c r="AO28" i="1"/>
  <c r="AO230" i="1"/>
  <c r="AO200" i="1"/>
  <c r="AO171" i="1"/>
  <c r="AO143" i="1"/>
  <c r="AO113" i="1"/>
  <c r="AO83" i="1"/>
  <c r="AO54" i="1"/>
  <c r="AO25" i="1"/>
  <c r="AO226" i="1"/>
  <c r="AO198" i="1"/>
  <c r="AO168" i="1"/>
  <c r="AO138" i="1"/>
  <c r="AO108" i="1"/>
  <c r="AO80" i="1"/>
  <c r="AO51" i="1"/>
  <c r="AO22" i="1"/>
  <c r="AO225" i="1"/>
  <c r="AO195" i="1"/>
  <c r="AO166" i="1"/>
  <c r="AO136" i="1"/>
  <c r="AO107" i="1"/>
  <c r="AO79" i="1"/>
  <c r="AO49" i="1"/>
  <c r="AO19" i="1"/>
</calcChain>
</file>

<file path=xl/sharedStrings.xml><?xml version="1.0" encoding="utf-8"?>
<sst xmlns="http://schemas.openxmlformats.org/spreadsheetml/2006/main" count="1115" uniqueCount="486">
  <si>
    <t>Date_d</t>
  </si>
  <si>
    <t>ISIN</t>
  </si>
  <si>
    <t>Days To Maturity</t>
  </si>
  <si>
    <t>Offer</t>
  </si>
  <si>
    <t>Amount Offered</t>
  </si>
  <si>
    <t>Bid Received</t>
  </si>
  <si>
    <t>Bid Accepted</t>
  </si>
  <si>
    <t>WAYR Current</t>
  </si>
  <si>
    <t>WAYR Last</t>
  </si>
  <si>
    <t>Maturity date</t>
  </si>
  <si>
    <t>Coupon</t>
  </si>
  <si>
    <t>(shortfall)/excess</t>
  </si>
  <si>
    <t>WoW change</t>
  </si>
  <si>
    <t>Maturities</t>
  </si>
  <si>
    <t>Issuances</t>
  </si>
  <si>
    <t>Excess/deficit</t>
  </si>
  <si>
    <t>Coupons</t>
  </si>
  <si>
    <t>Bid to cover</t>
  </si>
  <si>
    <t>WAYR</t>
  </si>
  <si>
    <t>LKA36419A040</t>
  </si>
  <si>
    <t>Yes</t>
  </si>
  <si>
    <t>Total</t>
  </si>
  <si>
    <t>Undersubscribed Tbill auctions</t>
  </si>
  <si>
    <t>Bills not taken up</t>
  </si>
  <si>
    <t>Undersubscribed %</t>
  </si>
  <si>
    <t>Last date</t>
  </si>
  <si>
    <t>LKA36419A115</t>
  </si>
  <si>
    <t>days</t>
  </si>
  <si>
    <t>LKA36419A180</t>
  </si>
  <si>
    <t>LKA36419A255</t>
  </si>
  <si>
    <t>LKA36419B014</t>
  </si>
  <si>
    <t>LKA36419B089</t>
  </si>
  <si>
    <t>LKA36419B154</t>
  </si>
  <si>
    <t>LKA36419B220</t>
  </si>
  <si>
    <t>LKA36419C012</t>
  </si>
  <si>
    <t>LKA36419C087</t>
  </si>
  <si>
    <t>LKA36419C152</t>
  </si>
  <si>
    <t>LKA36419C228</t>
  </si>
  <si>
    <t>LKA36419C293</t>
  </si>
  <si>
    <t>LKA36419D051</t>
  </si>
  <si>
    <t>LKA36419D127</t>
  </si>
  <si>
    <t>LKA36419D267</t>
  </si>
  <si>
    <t>LKA36419E034</t>
  </si>
  <si>
    <t>LKA36419E109</t>
  </si>
  <si>
    <t>LKA36419E174</t>
  </si>
  <si>
    <t>LKA36419E240</t>
  </si>
  <si>
    <t>LKA36419E315</t>
  </si>
  <si>
    <t>LKA36419F072</t>
  </si>
  <si>
    <t>LKA36419F148</t>
  </si>
  <si>
    <t>LKA36419F213</t>
  </si>
  <si>
    <t>LKA36419F288</t>
  </si>
  <si>
    <t>LKA18219A046</t>
  </si>
  <si>
    <t>LKA36419G054</t>
  </si>
  <si>
    <t>LKA18219A111</t>
  </si>
  <si>
    <t xml:space="preserve"> -   </t>
  </si>
  <si>
    <t>LKA36419G120</t>
  </si>
  <si>
    <t>LKA18219A186</t>
  </si>
  <si>
    <t>LKA36419G195</t>
  </si>
  <si>
    <t>LKA18219A251</t>
  </si>
  <si>
    <t>LKA36419G260</t>
  </si>
  <si>
    <t>LKA18219B010</t>
  </si>
  <si>
    <t>LKA36419H029</t>
  </si>
  <si>
    <t>LKA18219B085</t>
  </si>
  <si>
    <t>LKA36419H094</t>
  </si>
  <si>
    <t>LKA18219B150</t>
  </si>
  <si>
    <t>LKA36419H169</t>
  </si>
  <si>
    <t>LKA18219B226</t>
  </si>
  <si>
    <t>1Q2019</t>
  </si>
  <si>
    <t>LKA36419H235</t>
  </si>
  <si>
    <t>2Q2019</t>
  </si>
  <si>
    <t>LKA18219C018</t>
  </si>
  <si>
    <t>No</t>
  </si>
  <si>
    <t>3Q2019</t>
  </si>
  <si>
    <t>LKA36419H300</t>
  </si>
  <si>
    <t>4Q2019</t>
  </si>
  <si>
    <t>LKA18219C083</t>
  </si>
  <si>
    <t>1Q2020</t>
  </si>
  <si>
    <t>LKA36419I068</t>
  </si>
  <si>
    <t>2Q2020</t>
  </si>
  <si>
    <t>LKA18219C158</t>
  </si>
  <si>
    <t>3Q2020</t>
  </si>
  <si>
    <t>LKA36419I134</t>
  </si>
  <si>
    <t>4Q2020</t>
  </si>
  <si>
    <t>LKA18219C224</t>
  </si>
  <si>
    <t>1Q2021</t>
  </si>
  <si>
    <t>LKA36419I209</t>
  </si>
  <si>
    <t>2Q2021</t>
  </si>
  <si>
    <t>LKA18219C299</t>
  </si>
  <si>
    <t>3Q2021</t>
  </si>
  <si>
    <t>CBSL Holdings as at 9th Oct 2020</t>
  </si>
  <si>
    <t>LKA36419I274</t>
  </si>
  <si>
    <t>4Q2021</t>
  </si>
  <si>
    <t>LKA09119A049</t>
  </si>
  <si>
    <t>LKA18219D057</t>
  </si>
  <si>
    <t>LKA36419J041</t>
  </si>
  <si>
    <t>LKA09119A114</t>
  </si>
  <si>
    <t>LKA18219D123</t>
  </si>
  <si>
    <t>LKA36419J116</t>
  </si>
  <si>
    <t>LKA09119A189</t>
  </si>
  <si>
    <t>LKA18219D198</t>
  </si>
  <si>
    <t>LKA36419J181</t>
  </si>
  <si>
    <t>LKA09119A254</t>
  </si>
  <si>
    <t>LKA18219D263</t>
  </si>
  <si>
    <t>LKA36419J256</t>
  </si>
  <si>
    <t>LKA09119B013</t>
  </si>
  <si>
    <t>LKA18219E030</t>
  </si>
  <si>
    <t>LKA36419K015</t>
  </si>
  <si>
    <t>LKA09119B088</t>
  </si>
  <si>
    <t>LKA18219E105</t>
  </si>
  <si>
    <t>LKA36419K080</t>
  </si>
  <si>
    <t>LKA09119B153</t>
  </si>
  <si>
    <t>LKA18219E170</t>
  </si>
  <si>
    <t>LKA36419K155</t>
  </si>
  <si>
    <t>LKA09119B229</t>
  </si>
  <si>
    <t>LKA18219E246</t>
  </si>
  <si>
    <t>LKA36419K221</t>
  </si>
  <si>
    <t>LKA09119C011</t>
  </si>
  <si>
    <t>LKA18219E311</t>
  </si>
  <si>
    <t>LKA36419K296</t>
  </si>
  <si>
    <t>LKA09119C086</t>
  </si>
  <si>
    <t>LKA18219F078</t>
  </si>
  <si>
    <t>LKA36419L062</t>
  </si>
  <si>
    <t>LKA09119C151</t>
  </si>
  <si>
    <t>LKA18219F144</t>
  </si>
  <si>
    <t>LKA36419L138</t>
  </si>
  <si>
    <t>LKA09119C227</t>
  </si>
  <si>
    <t>LKA18219F219</t>
  </si>
  <si>
    <t>LKA36419L203</t>
  </si>
  <si>
    <t>LKA09119D050</t>
  </si>
  <si>
    <t>LKA18219G050</t>
  </si>
  <si>
    <t>LKA36420A030</t>
  </si>
  <si>
    <t>LKA09119D126</t>
  </si>
  <si>
    <t>LKA18219G126</t>
  </si>
  <si>
    <t>LKA36420A105</t>
  </si>
  <si>
    <t>LKA09119D191</t>
  </si>
  <si>
    <t>LKA18219G191</t>
  </si>
  <si>
    <t>LKA36420A170</t>
  </si>
  <si>
    <t>LKA09119D266</t>
  </si>
  <si>
    <t>LKA18219G266</t>
  </si>
  <si>
    <t>LKA36420A246</t>
  </si>
  <si>
    <t>LKA09119E033</t>
  </si>
  <si>
    <t>LKA18219H025</t>
  </si>
  <si>
    <t>LKA36420A311</t>
  </si>
  <si>
    <t>LKA09119E108</t>
  </si>
  <si>
    <t>LKA18219H090</t>
  </si>
  <si>
    <t>LKA36420B079</t>
  </si>
  <si>
    <t>LKA09119E173</t>
  </si>
  <si>
    <t>LKA18219H165</t>
  </si>
  <si>
    <t>LKA36420B145</t>
  </si>
  <si>
    <t>LKA09119E249</t>
  </si>
  <si>
    <t>LKA18219H231</t>
  </si>
  <si>
    <t>LKA36420B210</t>
  </si>
  <si>
    <t>LKA09119E314</t>
  </si>
  <si>
    <t>LKA18219H306</t>
  </si>
  <si>
    <t>LKA36420B285</t>
  </si>
  <si>
    <t>LKA09119F071</t>
  </si>
  <si>
    <t>LKA18219I064</t>
  </si>
  <si>
    <t>LKA36420C069</t>
  </si>
  <si>
    <t>LKA09119F147</t>
  </si>
  <si>
    <t>LKA18219I130</t>
  </si>
  <si>
    <t>LKA36420C135</t>
  </si>
  <si>
    <t>LKA09119F212</t>
  </si>
  <si>
    <t>LKA18219I205</t>
  </si>
  <si>
    <t>LKA36420C200</t>
  </si>
  <si>
    <t>LKA09119F287</t>
  </si>
  <si>
    <t>LKA18219I270</t>
  </si>
  <si>
    <t>LKA36420C275</t>
  </si>
  <si>
    <t>LKA09119G053</t>
  </si>
  <si>
    <t>LKA18219J047</t>
  </si>
  <si>
    <t>LKA36420D034</t>
  </si>
  <si>
    <t>LKA09119G129</t>
  </si>
  <si>
    <t>LKA18219J112</t>
  </si>
  <si>
    <t>LKA36420D109</t>
  </si>
  <si>
    <t>LKA09119G194</t>
  </si>
  <si>
    <t>LKA18219J187</t>
  </si>
  <si>
    <t>LKA36420D174</t>
  </si>
  <si>
    <t>LKA09119G269</t>
  </si>
  <si>
    <t>LKA18219J252</t>
  </si>
  <si>
    <t>LKA36420D240</t>
  </si>
  <si>
    <t>LKA09119H028</t>
  </si>
  <si>
    <t>LKA18219K011</t>
  </si>
  <si>
    <t>LKA36420E016</t>
  </si>
  <si>
    <t>LKA09119H093</t>
  </si>
  <si>
    <t>LKA18219K086</t>
  </si>
  <si>
    <t>LKA36420E081</t>
  </si>
  <si>
    <t>LKA09119H168</t>
  </si>
  <si>
    <t>LKA18219K15</t>
  </si>
  <si>
    <t>LKA36420E156</t>
  </si>
  <si>
    <t>LKA09119H234</t>
  </si>
  <si>
    <t>-</t>
  </si>
  <si>
    <t>LKA18219K227</t>
  </si>
  <si>
    <t>LKA36420E222</t>
  </si>
  <si>
    <t>LKA09119H309</t>
  </si>
  <si>
    <t>LKA18219K292</t>
  </si>
  <si>
    <t>LKA36420E297</t>
  </si>
  <si>
    <t>LKA09119I067</t>
  </si>
  <si>
    <t>LKA18219L068</t>
  </si>
  <si>
    <t>LKA36420F054</t>
  </si>
  <si>
    <t>LKA09119I133</t>
  </si>
  <si>
    <t>LKA18219L134</t>
  </si>
  <si>
    <t>LKA36420F120</t>
  </si>
  <si>
    <t>LKA09119I208</t>
  </si>
  <si>
    <t>LKA18219L209</t>
  </si>
  <si>
    <t>LKA36420F195</t>
  </si>
  <si>
    <t>LKA09119I273</t>
  </si>
  <si>
    <t>LKA18219L274</t>
  </si>
  <si>
    <t>LKA36420F260</t>
  </si>
  <si>
    <t>LKA09119J040</t>
  </si>
  <si>
    <t>LKA18220A036</t>
  </si>
  <si>
    <t>LKA36420G037</t>
  </si>
  <si>
    <t>LKA09119J115</t>
  </si>
  <si>
    <t>LKA18220A101</t>
  </si>
  <si>
    <t>LKA36420G102</t>
  </si>
  <si>
    <t>LKA09119J180</t>
  </si>
  <si>
    <t>LKA18220A176</t>
  </si>
  <si>
    <t>LKA36420G177</t>
  </si>
  <si>
    <t>LKA09119J255</t>
  </si>
  <si>
    <t>LKA18220A242</t>
  </si>
  <si>
    <t>LKA36420G243</t>
  </si>
  <si>
    <t>LKA09119K014</t>
  </si>
  <si>
    <t>LKA18220A317</t>
  </si>
  <si>
    <t>LKA36420G318</t>
  </si>
  <si>
    <t>LKA09119K089</t>
  </si>
  <si>
    <t>LKA18220B075</t>
  </si>
  <si>
    <t>LKA36420H076</t>
  </si>
  <si>
    <t>LKA09119K154</t>
  </si>
  <si>
    <t>LKA18220B141</t>
  </si>
  <si>
    <t>LKA36420H142</t>
  </si>
  <si>
    <t>LKA09119K220</t>
  </si>
  <si>
    <t>LKA18220B216</t>
  </si>
  <si>
    <t>LKA36420H217</t>
  </si>
  <si>
    <t>LKA09121I030</t>
  </si>
  <si>
    <t>LKA18221L031</t>
  </si>
  <si>
    <t>LKA36422F035</t>
  </si>
  <si>
    <t>LKA09121F259</t>
  </si>
  <si>
    <t>LKA18221I243</t>
  </si>
  <si>
    <t>LKA36422C255</t>
  </si>
  <si>
    <t>LKA09121G026</t>
  </si>
  <si>
    <t>LKA18221J019</t>
  </si>
  <si>
    <t>LKA36422D014</t>
  </si>
  <si>
    <t>LKA09121G091</t>
  </si>
  <si>
    <t>LKA18221J084</t>
  </si>
  <si>
    <t>LKA36422D089</t>
  </si>
  <si>
    <t>LKA09121G166</t>
  </si>
  <si>
    <t>LKA18221J159</t>
  </si>
  <si>
    <t>LKA36422D154</t>
  </si>
  <si>
    <t>LKA09121G232</t>
  </si>
  <si>
    <t>LKA18221J225</t>
  </si>
  <si>
    <t>LKA36422D220</t>
  </si>
  <si>
    <t>LKA09121G307</t>
  </si>
  <si>
    <t>LKA18221J290</t>
  </si>
  <si>
    <t>LKA36422D295</t>
  </si>
  <si>
    <t>LKA09121H065</t>
  </si>
  <si>
    <t>LKA18221K058</t>
  </si>
  <si>
    <t>LKA36422E061</t>
  </si>
  <si>
    <t>LKA09121H131</t>
  </si>
  <si>
    <t>LKA18221K124</t>
  </si>
  <si>
    <t>LKA36422E137</t>
  </si>
  <si>
    <t>LKA09121H206</t>
  </si>
  <si>
    <t>LKA18221K199</t>
  </si>
  <si>
    <t>LKA36422E202</t>
  </si>
  <si>
    <t>LKA09121H271</t>
  </si>
  <si>
    <t>LKA18221K264</t>
  </si>
  <si>
    <t>LKA36422E277</t>
  </si>
  <si>
    <t>LKA09121I105</t>
  </si>
  <si>
    <t>LKA18221L106</t>
  </si>
  <si>
    <t>LKA36422F100</t>
  </si>
  <si>
    <t>LKA09121I170</t>
  </si>
  <si>
    <t>LKA18221L171</t>
  </si>
  <si>
    <t>LKA36422F175</t>
  </si>
  <si>
    <t>LKA09121I246</t>
  </si>
  <si>
    <t>LKA18221L247</t>
  </si>
  <si>
    <t>LKA36422F241</t>
  </si>
  <si>
    <t>LKA09121J012</t>
  </si>
  <si>
    <t>LKA18221L312</t>
  </si>
  <si>
    <t>LKA36422G017</t>
  </si>
  <si>
    <t>LKA09121J087</t>
  </si>
  <si>
    <t>LKA18222A073</t>
  </si>
  <si>
    <t>LKA36422G082</t>
  </si>
  <si>
    <t>LKA09121J152</t>
  </si>
  <si>
    <t>LKA18222A149</t>
  </si>
  <si>
    <t>LKA36422G157</t>
  </si>
  <si>
    <t>LKA09121J228</t>
  </si>
  <si>
    <t>LKA18222A214</t>
  </si>
  <si>
    <t>LKA36422G223</t>
  </si>
  <si>
    <t>LKA09121J293</t>
  </si>
  <si>
    <t>LKA18222A289</t>
  </si>
  <si>
    <t>LKA36422G298</t>
  </si>
  <si>
    <t>LKA09121K051</t>
  </si>
  <si>
    <t>LKA18222B048</t>
  </si>
  <si>
    <t>LKA36422H056</t>
  </si>
  <si>
    <t>LKA09121K127</t>
  </si>
  <si>
    <t>LKA18222B113</t>
  </si>
  <si>
    <t>LKA36422H122</t>
  </si>
  <si>
    <t>LKA09121K192</t>
  </si>
  <si>
    <t>LKA18222B188</t>
  </si>
  <si>
    <t>LKA36422H197</t>
  </si>
  <si>
    <t>LKA09121K267</t>
  </si>
  <si>
    <t>LKA18222B253</t>
  </si>
  <si>
    <t>LKA36422H262</t>
  </si>
  <si>
    <t>LKA09121L034</t>
  </si>
  <si>
    <t>LKA18222C046</t>
  </si>
  <si>
    <t>LKA36422I021</t>
  </si>
  <si>
    <t>LKA09121L109</t>
  </si>
  <si>
    <t>LKA18222C111</t>
  </si>
  <si>
    <t>LKA36422I096</t>
  </si>
  <si>
    <t>LKA09121L174</t>
  </si>
  <si>
    <t>LKA18222C186</t>
  </si>
  <si>
    <t>LKA36422I161</t>
  </si>
  <si>
    <t>LKA09121L240</t>
  </si>
  <si>
    <t>LKA18222C251</t>
  </si>
  <si>
    <t>LKA36422I237</t>
  </si>
  <si>
    <t>LKA09121L315</t>
  </si>
  <si>
    <t>LKA18222D010</t>
  </si>
  <si>
    <t>LKA36422I302</t>
  </si>
  <si>
    <t>LKA09122A076</t>
  </si>
  <si>
    <t>LKA18222D085</t>
  </si>
  <si>
    <t>LKA36422J078</t>
  </si>
  <si>
    <t>LKA09122A142</t>
  </si>
  <si>
    <t>LKA18222D150</t>
  </si>
  <si>
    <t>LKA36422J144</t>
  </si>
  <si>
    <t>LKA09122A217</t>
  </si>
  <si>
    <t>LKA18222D226</t>
  </si>
  <si>
    <t>LKA36422J219</t>
  </si>
  <si>
    <t>LKA09122A282</t>
  </si>
  <si>
    <t>LKA18222D291</t>
  </si>
  <si>
    <t>LKA36422J284</t>
  </si>
  <si>
    <t>LKA09122B041</t>
  </si>
  <si>
    <t>LKA18222E067</t>
  </si>
  <si>
    <t>LKA36422K043</t>
  </si>
  <si>
    <t>LKA09122B116</t>
  </si>
  <si>
    <t>LKA18222E133</t>
  </si>
  <si>
    <t>LKA36422K118</t>
  </si>
  <si>
    <t>LKA09122B181</t>
  </si>
  <si>
    <t>LKA18222E208</t>
  </si>
  <si>
    <t>LKA36422K183</t>
  </si>
  <si>
    <t>LKA09122B256</t>
  </si>
  <si>
    <t>LKA18222E273</t>
  </si>
  <si>
    <t>LKA36422K258</t>
  </si>
  <si>
    <t>LKA09122C049</t>
  </si>
  <si>
    <t>LKA18222F031</t>
  </si>
  <si>
    <t>LKA36422L025</t>
  </si>
  <si>
    <t>LKA09122C254</t>
  </si>
  <si>
    <t>LKA18222F247</t>
  </si>
  <si>
    <t>LKA36422L231</t>
  </si>
  <si>
    <t>LKA09122D013</t>
  </si>
  <si>
    <t>LKA18222G013</t>
  </si>
  <si>
    <t>LKA36422L306</t>
  </si>
  <si>
    <t>LKA09122D088</t>
  </si>
  <si>
    <t>LKA18222G088</t>
  </si>
  <si>
    <t>LKA36423A067</t>
  </si>
  <si>
    <t>LKA09122D153</t>
  </si>
  <si>
    <t>LKA18222G153</t>
  </si>
  <si>
    <t>LKA36423A133</t>
  </si>
  <si>
    <t>LKA09122D229</t>
  </si>
  <si>
    <t>LKA18222G229</t>
  </si>
  <si>
    <t>LKA36423A208</t>
  </si>
  <si>
    <t>LKA09122D294</t>
  </si>
  <si>
    <t>LKA18222G294</t>
  </si>
  <si>
    <t>LKA36423A273</t>
  </si>
  <si>
    <t>LKA09122E060</t>
  </si>
  <si>
    <t>LKA18222H052</t>
  </si>
  <si>
    <t>LKA36423B032</t>
  </si>
  <si>
    <t>LKA09122E136</t>
  </si>
  <si>
    <t>LKA18222H128</t>
  </si>
  <si>
    <t>LKA36423B107</t>
  </si>
  <si>
    <t>LKA09122E201</t>
  </si>
  <si>
    <t>LKA18222H193</t>
  </si>
  <si>
    <t>LKA36423B172</t>
  </si>
  <si>
    <t>LKA09122E276</t>
  </si>
  <si>
    <t>LKA18222H268</t>
  </si>
  <si>
    <t>LKA36423B248</t>
  </si>
  <si>
    <t>LKA09122F034</t>
  </si>
  <si>
    <t>LKA18222I027</t>
  </si>
  <si>
    <t>LKA36423C030</t>
  </si>
  <si>
    <t>LKA09122F109</t>
  </si>
  <si>
    <t>LKA18222I092</t>
  </si>
  <si>
    <t>LKA36423C105</t>
  </si>
  <si>
    <t>LKA09122F174</t>
  </si>
  <si>
    <t>LKA18222I167</t>
  </si>
  <si>
    <t>LKA36423C170</t>
  </si>
  <si>
    <t>LKA09122F240</t>
  </si>
  <si>
    <t>LKA18222I233</t>
  </si>
  <si>
    <t>LKA36423C246</t>
  </si>
  <si>
    <t>LKA09122G016</t>
  </si>
  <si>
    <t>LKA18222I308</t>
  </si>
  <si>
    <t>LKA36423C311</t>
  </si>
  <si>
    <t>LKA09122G081</t>
  </si>
  <si>
    <t>LKA18222J074</t>
  </si>
  <si>
    <t>LKA36423D079</t>
  </si>
  <si>
    <t>LKA09122G156</t>
  </si>
  <si>
    <t>LKA18222J140</t>
  </si>
  <si>
    <t>LKA36423D145</t>
  </si>
  <si>
    <t>LKA09122G222</t>
  </si>
  <si>
    <t>LKA18222J215</t>
  </si>
  <si>
    <t>LKA36423D210</t>
  </si>
  <si>
    <t>LKA09122G297</t>
  </si>
  <si>
    <t>LKA18222J280</t>
  </si>
  <si>
    <t>LKA36423D285</t>
  </si>
  <si>
    <t>LKA09122H055</t>
  </si>
  <si>
    <t>LKA18222K049</t>
  </si>
  <si>
    <t>LKA36423E051</t>
  </si>
  <si>
    <t>LKA09122H121</t>
  </si>
  <si>
    <t>LKA18222K114</t>
  </si>
  <si>
    <t>LKA36423E127</t>
  </si>
  <si>
    <t>LKA09122H196</t>
  </si>
  <si>
    <t>LKA18222K189</t>
  </si>
  <si>
    <t>LKA36423E192</t>
  </si>
  <si>
    <t>LKA09122H261</t>
  </si>
  <si>
    <t>LKA18222K254</t>
  </si>
  <si>
    <t>LKA36423E267</t>
  </si>
  <si>
    <t>LKA09122I020</t>
  </si>
  <si>
    <t>LKA18222L021</t>
  </si>
  <si>
    <t>LKA36423F025</t>
  </si>
  <si>
    <t>LKA09122I095</t>
  </si>
  <si>
    <t xml:space="preserve"> </t>
  </si>
  <si>
    <t>LKA18222L096</t>
  </si>
  <si>
    <t>LKA36423F090</t>
  </si>
  <si>
    <t>LKA09122I160</t>
  </si>
  <si>
    <t>LKA18222L161</t>
  </si>
  <si>
    <t>LKA36423F165</t>
  </si>
  <si>
    <t>LKA09122I236</t>
  </si>
  <si>
    <t>LKA18222L237</t>
  </si>
  <si>
    <t>LKA36423F231</t>
  </si>
  <si>
    <t>LKA09122I301</t>
  </si>
  <si>
    <t>LKA18222L302</t>
  </si>
  <si>
    <t>LKA36423F306</t>
  </si>
  <si>
    <t>LKA09122J077</t>
  </si>
  <si>
    <t>LKA18223A063</t>
  </si>
  <si>
    <t>LKA36423G072</t>
  </si>
  <si>
    <t>LKA09122J143</t>
  </si>
  <si>
    <t>LKA18223A139</t>
  </si>
  <si>
    <t>LKA36423G148</t>
  </si>
  <si>
    <t>LKA09122J218</t>
  </si>
  <si>
    <t>LKA18223A204</t>
  </si>
  <si>
    <t>LKA36423G213</t>
  </si>
  <si>
    <t>LKA09122J283</t>
  </si>
  <si>
    <t>LKA18223A279</t>
  </si>
  <si>
    <t>LKA36423G288</t>
  </si>
  <si>
    <t>LKA09122K042</t>
  </si>
  <si>
    <t>LKA18223B038</t>
  </si>
  <si>
    <t>LKA36423H047</t>
  </si>
  <si>
    <t>LKA09122K117</t>
  </si>
  <si>
    <t>LKA18223B103</t>
  </si>
  <si>
    <t>LKA36423H112</t>
  </si>
  <si>
    <t>LKA09122K182</t>
  </si>
  <si>
    <t>LKA18223B178</t>
  </si>
  <si>
    <t>LKA36423H187</t>
  </si>
  <si>
    <t>LKA09122K257</t>
  </si>
  <si>
    <t>LKA18223B244</t>
  </si>
  <si>
    <t>LKA36423H252</t>
  </si>
  <si>
    <t>LKA09122L024</t>
  </si>
  <si>
    <t>LKA18223C036</t>
  </si>
  <si>
    <t>LKA36423I011</t>
  </si>
  <si>
    <t>LKA09122L099</t>
  </si>
  <si>
    <t>LKA18223C101</t>
  </si>
  <si>
    <t>LKA36423I086</t>
  </si>
  <si>
    <t>LKA09122L164</t>
  </si>
  <si>
    <t>LKA18223C176</t>
  </si>
  <si>
    <t>LKA36423I151</t>
  </si>
  <si>
    <t>LKA09122L230</t>
  </si>
  <si>
    <t>LKA18223C242</t>
  </si>
  <si>
    <t>LKA36423I227</t>
  </si>
  <si>
    <t>LKA09122L305</t>
  </si>
  <si>
    <t>LKA18223C317</t>
  </si>
  <si>
    <t>LKA36423I292</t>
  </si>
  <si>
    <t>09123A066</t>
  </si>
  <si>
    <t>LKA18223D075</t>
  </si>
  <si>
    <t>LKA36423J068</t>
  </si>
  <si>
    <t>LKA09123A132</t>
  </si>
  <si>
    <t>LKA18223D141</t>
  </si>
  <si>
    <t>LKA36423J134</t>
  </si>
  <si>
    <t>LKA09123A207</t>
  </si>
  <si>
    <t>LKA18223D216</t>
  </si>
  <si>
    <t>LKA36423J209</t>
  </si>
  <si>
    <t>LKA09123A272</t>
  </si>
  <si>
    <t>LKA18223D281</t>
  </si>
  <si>
    <t>LKA36423J274</t>
  </si>
  <si>
    <t>LKA09123B031</t>
  </si>
  <si>
    <t>LKA18223E057</t>
  </si>
  <si>
    <t>LKA36423K033</t>
  </si>
  <si>
    <t>Date</t>
  </si>
  <si>
    <t>LKR Excess/ (Shortfall)</t>
  </si>
  <si>
    <t>Success Rate</t>
  </si>
  <si>
    <t>Increase in 1 Year (bps)</t>
  </si>
  <si>
    <t>Increase in 3 month (bps)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</si>
</sst>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yyyy\-mm\-dd"/>
    <numFmt numFmtId="166" formatCode="mm/dd/yy;@"/>
    <numFmt numFmtId="167" formatCode="_(* #,##0.0_);_(* \(#,##0.0\);_(* &quot;-&quot;??_);_(@_)"/>
    <numFmt numFmtId="168" formatCode="0.0%"/>
    <numFmt numFmtId="169" formatCode="[$-409]dd\-mmm\-yy;@"/>
  </numFmts>
  <fonts count="9" x14ac:knownFonts="1"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Ebrima"/>
    </font>
    <font>
      <sz val="10"/>
      <color rgb="FF000000"/>
      <name val="Times New Roman"/>
      <family val="1"/>
    </font>
    <font>
      <sz val="9"/>
      <color theme="1"/>
      <name val="Ebrima"/>
    </font>
    <font>
      <sz val="9"/>
      <color rgb="FF000000"/>
      <name val="Ebrima"/>
    </font>
    <font>
      <b/>
      <sz val="9"/>
      <color rgb="FF000000"/>
      <name val="Ebrima"/>
    </font>
    <font>
      <i/>
      <sz val="9"/>
      <color theme="1"/>
      <name val="Ebrima"/>
    </font>
    <font>
      <sz val="9"/>
      <color rgb="FFFF0000"/>
      <name val="Ebrima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43" fontId="3" fillId="0" borderId="0"/>
    <xf numFmtId="9" fontId="3" fillId="0" borderId="0"/>
    <xf numFmtId="0" fontId="1" fillId="0" borderId="0"/>
    <xf numFmtId="0" fontId="1" fillId="0" borderId="0"/>
  </cellStyleXfs>
  <cellXfs count="83">
    <xf numFmtId="0" fontId="0" fillId="0" borderId="0" xfId="0"/>
    <xf numFmtId="14" fontId="2" fillId="2" borderId="0" xfId="3" applyNumberFormat="1" applyFont="1" applyFill="1"/>
    <xf numFmtId="0" fontId="2" fillId="2" borderId="0" xfId="3" applyFont="1" applyFill="1"/>
    <xf numFmtId="164" fontId="2" fillId="2" borderId="0" xfId="3" applyNumberFormat="1" applyFont="1" applyFill="1"/>
    <xf numFmtId="43" fontId="2" fillId="2" borderId="0" xfId="1" applyFont="1" applyFill="1"/>
    <xf numFmtId="0" fontId="4" fillId="0" borderId="0" xfId="3" applyFont="1"/>
    <xf numFmtId="0" fontId="2" fillId="0" borderId="0" xfId="3" applyFont="1"/>
    <xf numFmtId="164" fontId="5" fillId="0" borderId="0" xfId="1" applyNumberFormat="1" applyFont="1"/>
    <xf numFmtId="0" fontId="6" fillId="0" borderId="0" xfId="0" applyFont="1"/>
    <xf numFmtId="14" fontId="4" fillId="0" borderId="1" xfId="3" applyNumberFormat="1" applyFont="1" applyBorder="1"/>
    <xf numFmtId="0" fontId="4" fillId="0" borderId="1" xfId="3" applyFont="1" applyBorder="1"/>
    <xf numFmtId="3" fontId="5" fillId="0" borderId="0" xfId="0" applyNumberFormat="1" applyFont="1"/>
    <xf numFmtId="165" fontId="4" fillId="0" borderId="1" xfId="3" applyNumberFormat="1" applyFont="1" applyBorder="1"/>
    <xf numFmtId="166" fontId="5" fillId="0" borderId="0" xfId="0" applyNumberFormat="1" applyFont="1"/>
    <xf numFmtId="164" fontId="4" fillId="0" borderId="0" xfId="3" applyNumberFormat="1" applyFont="1"/>
    <xf numFmtId="167" fontId="5" fillId="0" borderId="0" xfId="0" applyNumberFormat="1" applyFont="1"/>
    <xf numFmtId="167" fontId="5" fillId="0" borderId="0" xfId="1" applyNumberFormat="1" applyFont="1"/>
    <xf numFmtId="167" fontId="4" fillId="0" borderId="0" xfId="1" applyNumberFormat="1" applyFont="1"/>
    <xf numFmtId="164" fontId="4" fillId="0" borderId="1" xfId="3" applyNumberFormat="1" applyFont="1" applyBorder="1"/>
    <xf numFmtId="164" fontId="5" fillId="0" borderId="0" xfId="0" applyNumberFormat="1" applyFont="1"/>
    <xf numFmtId="0" fontId="4" fillId="3" borderId="0" xfId="3" applyFont="1" applyFill="1"/>
    <xf numFmtId="0" fontId="6" fillId="3" borderId="0" xfId="0" applyFont="1" applyFill="1"/>
    <xf numFmtId="0" fontId="5" fillId="3" borderId="0" xfId="0" applyFont="1" applyFill="1"/>
    <xf numFmtId="43" fontId="4" fillId="0" borderId="0" xfId="3" applyNumberFormat="1" applyFont="1"/>
    <xf numFmtId="168" fontId="7" fillId="3" borderId="0" xfId="2" applyNumberFormat="1" applyFont="1" applyFill="1"/>
    <xf numFmtId="164" fontId="7" fillId="3" borderId="0" xfId="1" applyNumberFormat="1" applyFont="1" applyFill="1"/>
    <xf numFmtId="164" fontId="4" fillId="3" borderId="0" xfId="1" applyNumberFormat="1" applyFont="1" applyFill="1"/>
    <xf numFmtId="3" fontId="5" fillId="0" borderId="1" xfId="0" applyNumberFormat="1" applyFont="1" applyBorder="1"/>
    <xf numFmtId="43" fontId="5" fillId="0" borderId="1" xfId="1" applyFont="1" applyBorder="1"/>
    <xf numFmtId="164" fontId="4" fillId="3" borderId="0" xfId="3" applyNumberFormat="1" applyFont="1" applyFill="1"/>
    <xf numFmtId="168" fontId="4" fillId="3" borderId="0" xfId="2" applyNumberFormat="1" applyFont="1" applyFill="1"/>
    <xf numFmtId="4" fontId="5" fillId="0" borderId="0" xfId="0" applyNumberFormat="1" applyFont="1"/>
    <xf numFmtId="165" fontId="4" fillId="4" borderId="1" xfId="3" applyNumberFormat="1" applyFont="1" applyFill="1" applyBorder="1"/>
    <xf numFmtId="43" fontId="4" fillId="0" borderId="0" xfId="1" applyFont="1"/>
    <xf numFmtId="14" fontId="4" fillId="4" borderId="1" xfId="3" applyNumberFormat="1" applyFont="1" applyFill="1" applyBorder="1"/>
    <xf numFmtId="0" fontId="4" fillId="4" borderId="1" xfId="3" applyFont="1" applyFill="1" applyBorder="1"/>
    <xf numFmtId="164" fontId="4" fillId="4" borderId="0" xfId="3" applyNumberFormat="1" applyFont="1" applyFill="1"/>
    <xf numFmtId="43" fontId="4" fillId="0" borderId="1" xfId="1" applyFont="1" applyBorder="1"/>
    <xf numFmtId="164" fontId="4" fillId="4" borderId="1" xfId="3" applyNumberFormat="1" applyFont="1" applyFill="1" applyBorder="1"/>
    <xf numFmtId="43" fontId="4" fillId="4" borderId="1" xfId="1" applyFont="1" applyFill="1" applyBorder="1"/>
    <xf numFmtId="14" fontId="5" fillId="0" borderId="0" xfId="0" applyNumberFormat="1" applyFont="1"/>
    <xf numFmtId="3" fontId="4" fillId="0" borderId="0" xfId="3" applyNumberFormat="1" applyFont="1"/>
    <xf numFmtId="0" fontId="5" fillId="0" borderId="1" xfId="0" applyFont="1" applyBorder="1"/>
    <xf numFmtId="43" fontId="5" fillId="0" borderId="1" xfId="0" applyNumberFormat="1" applyFont="1" applyBorder="1"/>
    <xf numFmtId="3" fontId="4" fillId="4" borderId="0" xfId="3" applyNumberFormat="1" applyFont="1" applyFill="1"/>
    <xf numFmtId="169" fontId="4" fillId="4" borderId="3" xfId="3" applyNumberFormat="1" applyFont="1" applyFill="1" applyBorder="1"/>
    <xf numFmtId="169" fontId="4" fillId="0" borderId="3" xfId="3" applyNumberFormat="1" applyFont="1" applyBorder="1"/>
    <xf numFmtId="169" fontId="5" fillId="0" borderId="0" xfId="0" applyNumberFormat="1" applyFont="1"/>
    <xf numFmtId="3" fontId="0" fillId="0" borderId="0" xfId="0" applyNumberFormat="1"/>
    <xf numFmtId="0" fontId="0" fillId="0" borderId="0" xfId="0" applyAlignment="1">
      <alignment vertical="top"/>
    </xf>
    <xf numFmtId="43" fontId="2" fillId="2" borderId="2" xfId="1" applyFont="1" applyFill="1" applyBorder="1" applyAlignment="1">
      <alignment vertical="top" wrapText="1"/>
    </xf>
    <xf numFmtId="43" fontId="0" fillId="0" borderId="0" xfId="0" applyNumberFormat="1"/>
    <xf numFmtId="14" fontId="4" fillId="4" borderId="3" xfId="3" applyNumberFormat="1" applyFont="1" applyFill="1" applyBorder="1"/>
    <xf numFmtId="14" fontId="4" fillId="0" borderId="0" xfId="3" applyNumberFormat="1" applyFont="1"/>
    <xf numFmtId="0" fontId="4" fillId="4" borderId="0" xfId="3" applyFont="1" applyFill="1"/>
    <xf numFmtId="165" fontId="4" fillId="0" borderId="0" xfId="3" applyNumberFormat="1" applyFont="1"/>
    <xf numFmtId="0" fontId="4" fillId="4" borderId="0" xfId="1" applyNumberFormat="1" applyFont="1" applyFill="1"/>
    <xf numFmtId="43" fontId="4" fillId="4" borderId="0" xfId="1" applyFont="1" applyFill="1"/>
    <xf numFmtId="3" fontId="4" fillId="4" borderId="0" xfId="1" applyNumberFormat="1" applyFont="1" applyFill="1"/>
    <xf numFmtId="164" fontId="4" fillId="0" borderId="0" xfId="1" applyNumberFormat="1" applyFont="1"/>
    <xf numFmtId="14" fontId="4" fillId="4" borderId="2" xfId="3" applyNumberFormat="1" applyFont="1" applyFill="1" applyBorder="1"/>
    <xf numFmtId="0" fontId="4" fillId="4" borderId="2" xfId="3" applyFont="1" applyFill="1" applyBorder="1"/>
    <xf numFmtId="164" fontId="4" fillId="4" borderId="2" xfId="3" applyNumberFormat="1" applyFont="1" applyFill="1" applyBorder="1"/>
    <xf numFmtId="43" fontId="4" fillId="4" borderId="2" xfId="1" applyFont="1" applyFill="1" applyBorder="1"/>
    <xf numFmtId="43" fontId="5" fillId="0" borderId="0" xfId="1" applyFont="1"/>
    <xf numFmtId="43" fontId="5" fillId="0" borderId="0" xfId="0" applyNumberFormat="1" applyFont="1"/>
    <xf numFmtId="164" fontId="4" fillId="0" borderId="1" xfId="1" applyNumberFormat="1" applyFont="1" applyBorder="1"/>
    <xf numFmtId="9" fontId="4" fillId="0" borderId="0" xfId="2" applyFont="1"/>
    <xf numFmtId="43" fontId="4" fillId="0" borderId="1" xfId="3" applyNumberFormat="1" applyFont="1" applyBorder="1"/>
    <xf numFmtId="3" fontId="4" fillId="0" borderId="1" xfId="3" applyNumberFormat="1" applyFont="1" applyBorder="1"/>
    <xf numFmtId="14" fontId="4" fillId="0" borderId="3" xfId="3" applyNumberFormat="1" applyFont="1" applyBorder="1"/>
    <xf numFmtId="169" fontId="2" fillId="4" borderId="3" xfId="3" applyNumberFormat="1" applyFont="1" applyFill="1" applyBorder="1" applyAlignment="1">
      <alignment vertical="top"/>
    </xf>
    <xf numFmtId="43" fontId="2" fillId="2" borderId="2" xfId="1" applyFont="1" applyFill="1" applyBorder="1" applyAlignment="1">
      <alignment vertical="top"/>
    </xf>
    <xf numFmtId="164" fontId="2" fillId="2" borderId="2" xfId="1" applyNumberFormat="1" applyFont="1" applyFill="1" applyBorder="1" applyAlignment="1">
      <alignment vertical="top"/>
    </xf>
    <xf numFmtId="165" fontId="8" fillId="0" borderId="1" xfId="3" applyNumberFormat="1" applyFont="1" applyBorder="1"/>
    <xf numFmtId="164" fontId="8" fillId="0" borderId="0" xfId="1" applyNumberFormat="1" applyFont="1"/>
    <xf numFmtId="3" fontId="8" fillId="0" borderId="0" xfId="3" applyNumberFormat="1" applyFont="1"/>
    <xf numFmtId="9" fontId="5" fillId="0" borderId="0" xfId="2" applyFont="1"/>
    <xf numFmtId="0" fontId="5" fillId="0" borderId="0" xfId="0" applyFont="1"/>
    <xf numFmtId="9" fontId="2" fillId="0" borderId="0" xfId="2" applyFont="1" applyAlignment="1">
      <alignment horizontal="center"/>
    </xf>
    <xf numFmtId="9" fontId="5" fillId="0" borderId="0" xfId="2" applyFont="1"/>
    <xf numFmtId="0" fontId="2" fillId="0" borderId="0" xfId="3" applyFont="1" applyAlignment="1">
      <alignment horizontal="center"/>
    </xf>
    <xf numFmtId="0" fontId="5" fillId="0" borderId="0" xfId="0" applyFont="1"/>
  </cellXfs>
  <cellStyles count="5">
    <cellStyle name="Comma" xfId="1" builtinId="3"/>
    <cellStyle name="Normal" xfId="0" builtinId="0"/>
    <cellStyle name="Normal 2" xfId="4" xr:uid="{00000000-0005-0000-0000-000004000000}"/>
    <cellStyle name="Normal 5" xfId="3" xr:uid="{00000000-0005-0000-0000-000003000000}"/>
    <cellStyle name="Percent" xfId="2" builtinId="5"/>
  </cellStyles>
  <dxfs count="18">
    <dxf>
      <font>
        <strike val="0"/>
        <condense val="0"/>
        <extend val="0"/>
        <outline val="0"/>
        <shadow val="0"/>
        <vertAlign val="baseline"/>
        <sz val="9"/>
        <color theme="1"/>
        <name val="Ebrima"/>
      </font>
      <numFmt numFmtId="3" formatCode="#,##0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9"/>
        <color theme="1"/>
        <name val="Ebrima"/>
      </font>
      <numFmt numFmtId="164" formatCode="_(* #,##0_);_(* \(#,##0\);_(* &quot;-&quot;??_);_(@_)"/>
      <alignment horizontal="general" vertical="bottom"/>
      <border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Ebrima"/>
      </font>
      <numFmt numFmtId="165" formatCode="yyyy\-mm\-dd"/>
      <alignment horizontal="general" vertical="bottom"/>
      <border outline="0">
        <left/>
        <right/>
        <top style="thin">
          <color theme="4" tint="0.39997558519241921"/>
        </top>
        <bottom/>
      </border>
    </dxf>
    <dxf>
      <numFmt numFmtId="35" formatCode="_(* #,##0.00_);_(* \(#,##0.00\);_(* &quot;-&quot;??_);_(@_)"/>
    </dxf>
    <dxf>
      <font>
        <strike val="0"/>
        <condense val="0"/>
        <extend val="0"/>
        <outline val="0"/>
        <shadow val="0"/>
        <vertAlign val="baseline"/>
        <sz val="9"/>
        <color theme="1"/>
        <name val="Ebrima"/>
      </font>
      <alignment horizontal="general" vertical="bottom"/>
      <border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Ebrima"/>
      </font>
      <numFmt numFmtId="164" formatCode="_(* #,##0_);_(* \(#,##0\);_(* &quot;-&quot;??_);_(@_)"/>
      <alignment horizontal="general" vertical="bottom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Ebrima"/>
      </font>
      <numFmt numFmtId="164" formatCode="_(* #,##0_);_(* \(#,##0\);_(* &quot;-&quot;??_);_(@_)"/>
      <alignment horizontal="general" vertical="bottom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Ebrima"/>
      </font>
      <numFmt numFmtId="164" formatCode="_(* #,##0_);_(* \(#,##0\);_(* &quot;-&quot;??_);_(@_)"/>
      <fill>
        <patternFill>
          <fgColor indexed="64"/>
          <bgColor indexed="65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9"/>
        <color theme="1"/>
        <name val="Ebrima"/>
      </font>
      <numFmt numFmtId="0" formatCode="General"/>
      <alignment horizontal="general" vertical="bottom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Ebrima"/>
      </font>
      <numFmt numFmtId="0" formatCode="General"/>
      <alignment horizontal="general" vertical="bottom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Ebrima"/>
      </font>
      <numFmt numFmtId="0" formatCode="General"/>
      <alignment horizontal="general" vertical="bottom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Ebrima"/>
      </font>
      <numFmt numFmtId="19" formatCode="m/d/yyyy"/>
      <alignment horizontal="general" vertical="bottom"/>
      <border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Ebrima"/>
      </font>
      <alignment horizontal="general" vertical="bottom"/>
    </dxf>
    <dxf>
      <font>
        <strike val="0"/>
        <outline val="0"/>
        <shadow val="0"/>
        <vertAlign val="baseline"/>
        <sz val="9"/>
        <name val="Ebrima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Bid-to-Offer</a:t>
            </a:r>
            <a:r>
              <a:rPr lang="en-US" baseline="0"/>
              <a:t> </a:t>
            </a:r>
            <a:r>
              <a:rPr lang="en-US"/>
              <a:t>ratio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Tbills!$AS$2:$AS$3</c:f>
              <c:strCache>
                <c:ptCount val="2"/>
                <c:pt idx="0">
                  <c:v> 91.0 </c:v>
                </c:pt>
                <c:pt idx="1">
                  <c:v> days 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Tbills!$AR$9:$AR$97</c:f>
              <c:numCache>
                <c:formatCode>mm/dd/yy;@</c:formatCode>
                <c:ptCount val="89"/>
                <c:pt idx="0">
                  <c:v>43502</c:v>
                </c:pt>
                <c:pt idx="1">
                  <c:v>43509</c:v>
                </c:pt>
                <c:pt idx="2">
                  <c:v>43516</c:v>
                </c:pt>
                <c:pt idx="3">
                  <c:v>43523</c:v>
                </c:pt>
                <c:pt idx="4">
                  <c:v>43530</c:v>
                </c:pt>
                <c:pt idx="5">
                  <c:v>43537</c:v>
                </c:pt>
                <c:pt idx="6">
                  <c:v>43543</c:v>
                </c:pt>
                <c:pt idx="7">
                  <c:v>43551</c:v>
                </c:pt>
                <c:pt idx="8">
                  <c:v>43558</c:v>
                </c:pt>
                <c:pt idx="9">
                  <c:v>43565</c:v>
                </c:pt>
                <c:pt idx="10">
                  <c:v>43571</c:v>
                </c:pt>
                <c:pt idx="11">
                  <c:v>43579</c:v>
                </c:pt>
                <c:pt idx="12">
                  <c:v>43585</c:v>
                </c:pt>
                <c:pt idx="13">
                  <c:v>43593</c:v>
                </c:pt>
                <c:pt idx="14">
                  <c:v>43600</c:v>
                </c:pt>
                <c:pt idx="15">
                  <c:v>43607</c:v>
                </c:pt>
                <c:pt idx="16">
                  <c:v>43614</c:v>
                </c:pt>
                <c:pt idx="17">
                  <c:v>43620</c:v>
                </c:pt>
                <c:pt idx="18">
                  <c:v>43628</c:v>
                </c:pt>
                <c:pt idx="19">
                  <c:v>43635</c:v>
                </c:pt>
                <c:pt idx="20">
                  <c:v>43642</c:v>
                </c:pt>
                <c:pt idx="21">
                  <c:v>43649</c:v>
                </c:pt>
                <c:pt idx="22">
                  <c:v>43656</c:v>
                </c:pt>
                <c:pt idx="23">
                  <c:v>43663</c:v>
                </c:pt>
                <c:pt idx="24">
                  <c:v>43670</c:v>
                </c:pt>
                <c:pt idx="25">
                  <c:v>43677</c:v>
                </c:pt>
                <c:pt idx="26">
                  <c:v>43684</c:v>
                </c:pt>
                <c:pt idx="27">
                  <c:v>43690</c:v>
                </c:pt>
                <c:pt idx="28">
                  <c:v>43698</c:v>
                </c:pt>
                <c:pt idx="29">
                  <c:v>43705</c:v>
                </c:pt>
                <c:pt idx="30">
                  <c:v>43712</c:v>
                </c:pt>
                <c:pt idx="31">
                  <c:v>43718</c:v>
                </c:pt>
                <c:pt idx="32">
                  <c:v>43726</c:v>
                </c:pt>
                <c:pt idx="33">
                  <c:v>43733</c:v>
                </c:pt>
                <c:pt idx="34">
                  <c:v>43740</c:v>
                </c:pt>
                <c:pt idx="35">
                  <c:v>43747</c:v>
                </c:pt>
                <c:pt idx="36">
                  <c:v>43754</c:v>
                </c:pt>
                <c:pt idx="37">
                  <c:v>43761</c:v>
                </c:pt>
                <c:pt idx="38">
                  <c:v>43768</c:v>
                </c:pt>
                <c:pt idx="39">
                  <c:v>43775</c:v>
                </c:pt>
                <c:pt idx="40">
                  <c:v>43782</c:v>
                </c:pt>
                <c:pt idx="41">
                  <c:v>43789</c:v>
                </c:pt>
                <c:pt idx="42">
                  <c:v>43796</c:v>
                </c:pt>
                <c:pt idx="43">
                  <c:v>43803</c:v>
                </c:pt>
                <c:pt idx="44">
                  <c:v>43809</c:v>
                </c:pt>
                <c:pt idx="45">
                  <c:v>43817</c:v>
                </c:pt>
                <c:pt idx="46">
                  <c:v>43823</c:v>
                </c:pt>
                <c:pt idx="47">
                  <c:v>43831</c:v>
                </c:pt>
                <c:pt idx="48">
                  <c:v>43837</c:v>
                </c:pt>
                <c:pt idx="49">
                  <c:v>43844</c:v>
                </c:pt>
                <c:pt idx="50">
                  <c:v>43852</c:v>
                </c:pt>
                <c:pt idx="51">
                  <c:v>43859</c:v>
                </c:pt>
                <c:pt idx="52">
                  <c:v>43866</c:v>
                </c:pt>
                <c:pt idx="53">
                  <c:v>43873</c:v>
                </c:pt>
                <c:pt idx="54">
                  <c:v>43879</c:v>
                </c:pt>
                <c:pt idx="55">
                  <c:v>43887</c:v>
                </c:pt>
                <c:pt idx="56">
                  <c:v>43894</c:v>
                </c:pt>
                <c:pt idx="57">
                  <c:v>43901</c:v>
                </c:pt>
                <c:pt idx="58">
                  <c:v>43908</c:v>
                </c:pt>
                <c:pt idx="59">
                  <c:v>43915</c:v>
                </c:pt>
                <c:pt idx="60">
                  <c:v>43922</c:v>
                </c:pt>
                <c:pt idx="61">
                  <c:v>43927</c:v>
                </c:pt>
                <c:pt idx="62">
                  <c:v>43936</c:v>
                </c:pt>
                <c:pt idx="63">
                  <c:v>43943</c:v>
                </c:pt>
                <c:pt idx="64">
                  <c:v>43949</c:v>
                </c:pt>
                <c:pt idx="65">
                  <c:v>43955</c:v>
                </c:pt>
                <c:pt idx="66">
                  <c:v>43964</c:v>
                </c:pt>
                <c:pt idx="67">
                  <c:v>43971</c:v>
                </c:pt>
                <c:pt idx="68">
                  <c:v>43978</c:v>
                </c:pt>
                <c:pt idx="69">
                  <c:v>43984</c:v>
                </c:pt>
                <c:pt idx="70">
                  <c:v>43992</c:v>
                </c:pt>
                <c:pt idx="71">
                  <c:v>43999</c:v>
                </c:pt>
                <c:pt idx="72">
                  <c:v>44006</c:v>
                </c:pt>
                <c:pt idx="73">
                  <c:v>44013</c:v>
                </c:pt>
                <c:pt idx="74">
                  <c:v>44020</c:v>
                </c:pt>
                <c:pt idx="75">
                  <c:v>44027</c:v>
                </c:pt>
                <c:pt idx="76">
                  <c:v>44034</c:v>
                </c:pt>
                <c:pt idx="77">
                  <c:v>44041</c:v>
                </c:pt>
                <c:pt idx="78">
                  <c:v>44048</c:v>
                </c:pt>
                <c:pt idx="79">
                  <c:v>44055</c:v>
                </c:pt>
                <c:pt idx="80">
                  <c:v>44062</c:v>
                </c:pt>
                <c:pt idx="81">
                  <c:v>44069</c:v>
                </c:pt>
                <c:pt idx="82">
                  <c:v>44076</c:v>
                </c:pt>
                <c:pt idx="83">
                  <c:v>44083</c:v>
                </c:pt>
                <c:pt idx="84">
                  <c:v>44090</c:v>
                </c:pt>
                <c:pt idx="85">
                  <c:v>44097</c:v>
                </c:pt>
                <c:pt idx="86">
                  <c:v>44103</c:v>
                </c:pt>
                <c:pt idx="87">
                  <c:v>44111</c:v>
                </c:pt>
                <c:pt idx="88">
                  <c:v>44118</c:v>
                </c:pt>
              </c:numCache>
            </c:numRef>
          </c:cat>
          <c:val>
            <c:numRef>
              <c:f>Tbills!$AS$9:$AS$97</c:f>
              <c:numCache>
                <c:formatCode>_(* #,##0.0_);_(* \(#,##0.0\);_(* "-"??_);_(@_)</c:formatCode>
                <c:ptCount val="89"/>
                <c:pt idx="0">
                  <c:v>1.6379999999999999</c:v>
                </c:pt>
                <c:pt idx="1">
                  <c:v>1.3857142857142857</c:v>
                </c:pt>
                <c:pt idx="2">
                  <c:v>1.2666666666666666</c:v>
                </c:pt>
                <c:pt idx="3">
                  <c:v>1.2549999999999999</c:v>
                </c:pt>
                <c:pt idx="4">
                  <c:v>1.2</c:v>
                </c:pt>
                <c:pt idx="5">
                  <c:v>1.3333333333333333</c:v>
                </c:pt>
                <c:pt idx="6">
                  <c:v>2.4500000000000002</c:v>
                </c:pt>
                <c:pt idx="7">
                  <c:v>2.2799999999999998</c:v>
                </c:pt>
                <c:pt idx="8">
                  <c:v>2.35</c:v>
                </c:pt>
                <c:pt idx="9">
                  <c:v>2.31</c:v>
                </c:pt>
                <c:pt idx="10">
                  <c:v>2.35</c:v>
                </c:pt>
                <c:pt idx="11">
                  <c:v>2.1</c:v>
                </c:pt>
                <c:pt idx="12">
                  <c:v>2.2166666666666668</c:v>
                </c:pt>
                <c:pt idx="13">
                  <c:v>2.4554999999999998</c:v>
                </c:pt>
                <c:pt idx="14">
                  <c:v>2.1</c:v>
                </c:pt>
                <c:pt idx="15">
                  <c:v>2.1408</c:v>
                </c:pt>
                <c:pt idx="16">
                  <c:v>2.1760000000000002</c:v>
                </c:pt>
                <c:pt idx="17">
                  <c:v>2.15</c:v>
                </c:pt>
                <c:pt idx="18">
                  <c:v>3.1833333333333331</c:v>
                </c:pt>
                <c:pt idx="19">
                  <c:v>2.8083333333333331</c:v>
                </c:pt>
                <c:pt idx="20">
                  <c:v>4.166666666666667</c:v>
                </c:pt>
                <c:pt idx="21">
                  <c:v>2.4916</c:v>
                </c:pt>
                <c:pt idx="22">
                  <c:v>5.95</c:v>
                </c:pt>
                <c:pt idx="23">
                  <c:v>4.6066666666666665</c:v>
                </c:pt>
                <c:pt idx="24">
                  <c:v>4.6016666666666666</c:v>
                </c:pt>
                <c:pt idx="25">
                  <c:v>1.984</c:v>
                </c:pt>
                <c:pt idx="26">
                  <c:v>2.68</c:v>
                </c:pt>
                <c:pt idx="27">
                  <c:v>1.65</c:v>
                </c:pt>
                <c:pt idx="28">
                  <c:v>2.0686666666666667</c:v>
                </c:pt>
                <c:pt idx="29">
                  <c:v>5.8019999999999996</c:v>
                </c:pt>
                <c:pt idx="30">
                  <c:v>3.2040000000000002</c:v>
                </c:pt>
                <c:pt idx="31">
                  <c:v>6.5049999999999999</c:v>
                </c:pt>
                <c:pt idx="32">
                  <c:v>3.05</c:v>
                </c:pt>
                <c:pt idx="33">
                  <c:v>2.8494000000000002</c:v>
                </c:pt>
                <c:pt idx="34">
                  <c:v>3.8</c:v>
                </c:pt>
                <c:pt idx="35">
                  <c:v>3.6666666666666665</c:v>
                </c:pt>
                <c:pt idx="36">
                  <c:v>1.8333333333333333</c:v>
                </c:pt>
                <c:pt idx="37">
                  <c:v>6.3010000000000002</c:v>
                </c:pt>
                <c:pt idx="38">
                  <c:v>3.9413333333333331</c:v>
                </c:pt>
                <c:pt idx="39">
                  <c:v>3.7069999999999999</c:v>
                </c:pt>
                <c:pt idx="40">
                  <c:v>2.3010000000000002</c:v>
                </c:pt>
                <c:pt idx="41">
                  <c:v>2.1755</c:v>
                </c:pt>
                <c:pt idx="42">
                  <c:v>5.7770000000000001</c:v>
                </c:pt>
                <c:pt idx="43">
                  <c:v>3.621</c:v>
                </c:pt>
                <c:pt idx="44">
                  <c:v>4.1980000000000004</c:v>
                </c:pt>
                <c:pt idx="45">
                  <c:v>1.3244</c:v>
                </c:pt>
                <c:pt idx="46">
                  <c:v>7.0720000000000001</c:v>
                </c:pt>
                <c:pt idx="47">
                  <c:v>2.6505000000000001</c:v>
                </c:pt>
                <c:pt idx="48">
                  <c:v>1.3334999999999999</c:v>
                </c:pt>
                <c:pt idx="49">
                  <c:v>1.2755000000000001</c:v>
                </c:pt>
                <c:pt idx="50">
                  <c:v>3.3946666666666667</c:v>
                </c:pt>
                <c:pt idx="51">
                  <c:v>4.4939999999999998</c:v>
                </c:pt>
                <c:pt idx="52">
                  <c:v>2.8085</c:v>
                </c:pt>
                <c:pt idx="53">
                  <c:v>3.1041333333333334</c:v>
                </c:pt>
                <c:pt idx="54">
                  <c:v>1.759625</c:v>
                </c:pt>
                <c:pt idx="55">
                  <c:v>2.6214285714285714</c:v>
                </c:pt>
                <c:pt idx="56">
                  <c:v>1.846111111111111</c:v>
                </c:pt>
                <c:pt idx="57">
                  <c:v>2.2638888888888888</c:v>
                </c:pt>
                <c:pt idx="58">
                  <c:v>2.4350000000000001</c:v>
                </c:pt>
                <c:pt idx="59">
                  <c:v>1.9470000000000001</c:v>
                </c:pt>
                <c:pt idx="60">
                  <c:v>2.1046666666666667</c:v>
                </c:pt>
                <c:pt idx="61">
                  <c:v>2.7482857142857142</c:v>
                </c:pt>
                <c:pt idx="62">
                  <c:v>1.3571428571428572</c:v>
                </c:pt>
                <c:pt idx="63">
                  <c:v>2.4858333333333333</c:v>
                </c:pt>
                <c:pt idx="64">
                  <c:v>2.9220000000000002</c:v>
                </c:pt>
                <c:pt idx="65">
                  <c:v>2.0656249999999998</c:v>
                </c:pt>
                <c:pt idx="66">
                  <c:v>2.9342857142857142</c:v>
                </c:pt>
                <c:pt idx="67">
                  <c:v>2.6622499999999998</c:v>
                </c:pt>
                <c:pt idx="68">
                  <c:v>3.0375000000000001</c:v>
                </c:pt>
                <c:pt idx="69">
                  <c:v>1.1214285714285714</c:v>
                </c:pt>
                <c:pt idx="70">
                  <c:v>1.3285714285714285</c:v>
                </c:pt>
                <c:pt idx="71">
                  <c:v>4.3131250000000003</c:v>
                </c:pt>
                <c:pt idx="72">
                  <c:v>3.9866666666666668</c:v>
                </c:pt>
                <c:pt idx="73">
                  <c:v>10.689</c:v>
                </c:pt>
                <c:pt idx="74">
                  <c:v>1.5562499999999999</c:v>
                </c:pt>
                <c:pt idx="75">
                  <c:v>3.99</c:v>
                </c:pt>
                <c:pt idx="76">
                  <c:v>2.9615217391304349</c:v>
                </c:pt>
                <c:pt idx="77">
                  <c:v>1.3638888888888889</c:v>
                </c:pt>
                <c:pt idx="78">
                  <c:v>3.1833333333333331</c:v>
                </c:pt>
                <c:pt idx="79">
                  <c:v>2.1841249999999999</c:v>
                </c:pt>
                <c:pt idx="80">
                  <c:v>2.8849999999999998</c:v>
                </c:pt>
                <c:pt idx="81">
                  <c:v>2.5257999999999998</c:v>
                </c:pt>
                <c:pt idx="82">
                  <c:v>1.3836666666666666</c:v>
                </c:pt>
                <c:pt idx="83">
                  <c:v>1.5551999999999999</c:v>
                </c:pt>
                <c:pt idx="84">
                  <c:v>1.925</c:v>
                </c:pt>
                <c:pt idx="85">
                  <c:v>1.3444444444444446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9F-4214-8811-ED553D55B20A}"/>
            </c:ext>
          </c:extLst>
        </c:ser>
        <c:ser>
          <c:idx val="1"/>
          <c:order val="1"/>
          <c:tx>
            <c:strRef>
              <c:f>Tbills!$AT$2:$AT$3</c:f>
              <c:strCache>
                <c:ptCount val="2"/>
                <c:pt idx="0">
                  <c:v> 182.0 </c:v>
                </c:pt>
                <c:pt idx="1">
                  <c:v> days </c:v>
                </c:pt>
              </c:strCache>
            </c:strRef>
          </c:tx>
          <c:spPr>
            <a:ln w="28575" cap="rnd">
              <a:solidFill>
                <a:schemeClr val="dk1">
                  <a:tint val="55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Tbills!$AR$9:$AR$97</c:f>
              <c:numCache>
                <c:formatCode>mm/dd/yy;@</c:formatCode>
                <c:ptCount val="89"/>
                <c:pt idx="0">
                  <c:v>43502</c:v>
                </c:pt>
                <c:pt idx="1">
                  <c:v>43509</c:v>
                </c:pt>
                <c:pt idx="2">
                  <c:v>43516</c:v>
                </c:pt>
                <c:pt idx="3">
                  <c:v>43523</c:v>
                </c:pt>
                <c:pt idx="4">
                  <c:v>43530</c:v>
                </c:pt>
                <c:pt idx="5">
                  <c:v>43537</c:v>
                </c:pt>
                <c:pt idx="6">
                  <c:v>43543</c:v>
                </c:pt>
                <c:pt idx="7">
                  <c:v>43551</c:v>
                </c:pt>
                <c:pt idx="8">
                  <c:v>43558</c:v>
                </c:pt>
                <c:pt idx="9">
                  <c:v>43565</c:v>
                </c:pt>
                <c:pt idx="10">
                  <c:v>43571</c:v>
                </c:pt>
                <c:pt idx="11">
                  <c:v>43579</c:v>
                </c:pt>
                <c:pt idx="12">
                  <c:v>43585</c:v>
                </c:pt>
                <c:pt idx="13">
                  <c:v>43593</c:v>
                </c:pt>
                <c:pt idx="14">
                  <c:v>43600</c:v>
                </c:pt>
                <c:pt idx="15">
                  <c:v>43607</c:v>
                </c:pt>
                <c:pt idx="16">
                  <c:v>43614</c:v>
                </c:pt>
                <c:pt idx="17">
                  <c:v>43620</c:v>
                </c:pt>
                <c:pt idx="18">
                  <c:v>43628</c:v>
                </c:pt>
                <c:pt idx="19">
                  <c:v>43635</c:v>
                </c:pt>
                <c:pt idx="20">
                  <c:v>43642</c:v>
                </c:pt>
                <c:pt idx="21">
                  <c:v>43649</c:v>
                </c:pt>
                <c:pt idx="22">
                  <c:v>43656</c:v>
                </c:pt>
                <c:pt idx="23">
                  <c:v>43663</c:v>
                </c:pt>
                <c:pt idx="24">
                  <c:v>43670</c:v>
                </c:pt>
                <c:pt idx="25">
                  <c:v>43677</c:v>
                </c:pt>
                <c:pt idx="26">
                  <c:v>43684</c:v>
                </c:pt>
                <c:pt idx="27">
                  <c:v>43690</c:v>
                </c:pt>
                <c:pt idx="28">
                  <c:v>43698</c:v>
                </c:pt>
                <c:pt idx="29">
                  <c:v>43705</c:v>
                </c:pt>
                <c:pt idx="30">
                  <c:v>43712</c:v>
                </c:pt>
                <c:pt idx="31">
                  <c:v>43718</c:v>
                </c:pt>
                <c:pt idx="32">
                  <c:v>43726</c:v>
                </c:pt>
                <c:pt idx="33">
                  <c:v>43733</c:v>
                </c:pt>
                <c:pt idx="34">
                  <c:v>43740</c:v>
                </c:pt>
                <c:pt idx="35">
                  <c:v>43747</c:v>
                </c:pt>
                <c:pt idx="36">
                  <c:v>43754</c:v>
                </c:pt>
                <c:pt idx="37">
                  <c:v>43761</c:v>
                </c:pt>
                <c:pt idx="38">
                  <c:v>43768</c:v>
                </c:pt>
                <c:pt idx="39">
                  <c:v>43775</c:v>
                </c:pt>
                <c:pt idx="40">
                  <c:v>43782</c:v>
                </c:pt>
                <c:pt idx="41">
                  <c:v>43789</c:v>
                </c:pt>
                <c:pt idx="42">
                  <c:v>43796</c:v>
                </c:pt>
                <c:pt idx="43">
                  <c:v>43803</c:v>
                </c:pt>
                <c:pt idx="44">
                  <c:v>43809</c:v>
                </c:pt>
                <c:pt idx="45">
                  <c:v>43817</c:v>
                </c:pt>
                <c:pt idx="46">
                  <c:v>43823</c:v>
                </c:pt>
                <c:pt idx="47">
                  <c:v>43831</c:v>
                </c:pt>
                <c:pt idx="48">
                  <c:v>43837</c:v>
                </c:pt>
                <c:pt idx="49">
                  <c:v>43844</c:v>
                </c:pt>
                <c:pt idx="50">
                  <c:v>43852</c:v>
                </c:pt>
                <c:pt idx="51">
                  <c:v>43859</c:v>
                </c:pt>
                <c:pt idx="52">
                  <c:v>43866</c:v>
                </c:pt>
                <c:pt idx="53">
                  <c:v>43873</c:v>
                </c:pt>
                <c:pt idx="54">
                  <c:v>43879</c:v>
                </c:pt>
                <c:pt idx="55">
                  <c:v>43887</c:v>
                </c:pt>
                <c:pt idx="56">
                  <c:v>43894</c:v>
                </c:pt>
                <c:pt idx="57">
                  <c:v>43901</c:v>
                </c:pt>
                <c:pt idx="58">
                  <c:v>43908</c:v>
                </c:pt>
                <c:pt idx="59">
                  <c:v>43915</c:v>
                </c:pt>
                <c:pt idx="60">
                  <c:v>43922</c:v>
                </c:pt>
                <c:pt idx="61">
                  <c:v>43927</c:v>
                </c:pt>
                <c:pt idx="62">
                  <c:v>43936</c:v>
                </c:pt>
                <c:pt idx="63">
                  <c:v>43943</c:v>
                </c:pt>
                <c:pt idx="64">
                  <c:v>43949</c:v>
                </c:pt>
                <c:pt idx="65">
                  <c:v>43955</c:v>
                </c:pt>
                <c:pt idx="66">
                  <c:v>43964</c:v>
                </c:pt>
                <c:pt idx="67">
                  <c:v>43971</c:v>
                </c:pt>
                <c:pt idx="68">
                  <c:v>43978</c:v>
                </c:pt>
                <c:pt idx="69">
                  <c:v>43984</c:v>
                </c:pt>
                <c:pt idx="70">
                  <c:v>43992</c:v>
                </c:pt>
                <c:pt idx="71">
                  <c:v>43999</c:v>
                </c:pt>
                <c:pt idx="72">
                  <c:v>44006</c:v>
                </c:pt>
                <c:pt idx="73">
                  <c:v>44013</c:v>
                </c:pt>
                <c:pt idx="74">
                  <c:v>44020</c:v>
                </c:pt>
                <c:pt idx="75">
                  <c:v>44027</c:v>
                </c:pt>
                <c:pt idx="76">
                  <c:v>44034</c:v>
                </c:pt>
                <c:pt idx="77">
                  <c:v>44041</c:v>
                </c:pt>
                <c:pt idx="78">
                  <c:v>44048</c:v>
                </c:pt>
                <c:pt idx="79">
                  <c:v>44055</c:v>
                </c:pt>
                <c:pt idx="80">
                  <c:v>44062</c:v>
                </c:pt>
                <c:pt idx="81">
                  <c:v>44069</c:v>
                </c:pt>
                <c:pt idx="82">
                  <c:v>44076</c:v>
                </c:pt>
                <c:pt idx="83">
                  <c:v>44083</c:v>
                </c:pt>
                <c:pt idx="84">
                  <c:v>44090</c:v>
                </c:pt>
                <c:pt idx="85">
                  <c:v>44097</c:v>
                </c:pt>
                <c:pt idx="86">
                  <c:v>44103</c:v>
                </c:pt>
                <c:pt idx="87">
                  <c:v>44111</c:v>
                </c:pt>
                <c:pt idx="88">
                  <c:v>44118</c:v>
                </c:pt>
              </c:numCache>
            </c:numRef>
          </c:cat>
          <c:val>
            <c:numRef>
              <c:f>Tbills!$AT$9:$AT$97</c:f>
              <c:numCache>
                <c:formatCode>_(* #,##0.0_);_(* \(#,##0.0\);_(* "-"??_);_(@_)</c:formatCode>
                <c:ptCount val="89"/>
                <c:pt idx="0">
                  <c:v>1.3234999999999999</c:v>
                </c:pt>
                <c:pt idx="1">
                  <c:v>1.3571428571428572</c:v>
                </c:pt>
                <c:pt idx="2">
                  <c:v>1.35</c:v>
                </c:pt>
                <c:pt idx="3">
                  <c:v>1.5449999999999999</c:v>
                </c:pt>
                <c:pt idx="4">
                  <c:v>1.55</c:v>
                </c:pt>
                <c:pt idx="5">
                  <c:v>1.34</c:v>
                </c:pt>
                <c:pt idx="6">
                  <c:v>2.5</c:v>
                </c:pt>
                <c:pt idx="7">
                  <c:v>2.2799999999999998</c:v>
                </c:pt>
                <c:pt idx="8">
                  <c:v>2.4630000000000001</c:v>
                </c:pt>
                <c:pt idx="9">
                  <c:v>2.621</c:v>
                </c:pt>
                <c:pt idx="10">
                  <c:v>2.3208000000000002</c:v>
                </c:pt>
                <c:pt idx="11">
                  <c:v>2.1</c:v>
                </c:pt>
                <c:pt idx="12">
                  <c:v>2.1321666666666665</c:v>
                </c:pt>
                <c:pt idx="13">
                  <c:v>3.3895</c:v>
                </c:pt>
                <c:pt idx="14">
                  <c:v>3.7037499999999999</c:v>
                </c:pt>
                <c:pt idx="15">
                  <c:v>3.4628888888888887</c:v>
                </c:pt>
                <c:pt idx="16">
                  <c:v>3.9557500000000001</c:v>
                </c:pt>
                <c:pt idx="17">
                  <c:v>3.4874999999999998</c:v>
                </c:pt>
                <c:pt idx="18">
                  <c:v>4.0532000000000004</c:v>
                </c:pt>
                <c:pt idx="19">
                  <c:v>4.6887499999999998</c:v>
                </c:pt>
                <c:pt idx="20">
                  <c:v>4.1639999999999997</c:v>
                </c:pt>
                <c:pt idx="21">
                  <c:v>3.7285714285714286</c:v>
                </c:pt>
                <c:pt idx="22">
                  <c:v>4.1950000000000003</c:v>
                </c:pt>
                <c:pt idx="23">
                  <c:v>4.3687500000000004</c:v>
                </c:pt>
                <c:pt idx="24">
                  <c:v>4.2380000000000004</c:v>
                </c:pt>
                <c:pt idx="25">
                  <c:v>1.8464</c:v>
                </c:pt>
                <c:pt idx="26">
                  <c:v>2.7246666666666668</c:v>
                </c:pt>
                <c:pt idx="27">
                  <c:v>1.31</c:v>
                </c:pt>
                <c:pt idx="28">
                  <c:v>1.8</c:v>
                </c:pt>
                <c:pt idx="29">
                  <c:v>4.0860000000000003</c:v>
                </c:pt>
                <c:pt idx="30">
                  <c:v>2.2040000000000002</c:v>
                </c:pt>
                <c:pt idx="31">
                  <c:v>4.6520000000000001</c:v>
                </c:pt>
                <c:pt idx="32">
                  <c:v>5.1040000000000001</c:v>
                </c:pt>
                <c:pt idx="33">
                  <c:v>3.0666666666666669</c:v>
                </c:pt>
                <c:pt idx="34">
                  <c:v>5.1040000000000001</c:v>
                </c:pt>
                <c:pt idx="35">
                  <c:v>2.0065</c:v>
                </c:pt>
                <c:pt idx="36">
                  <c:v>2.3166153846153845</c:v>
                </c:pt>
                <c:pt idx="37">
                  <c:v>2.5518333333333332</c:v>
                </c:pt>
                <c:pt idx="38">
                  <c:v>3.5110000000000001</c:v>
                </c:pt>
                <c:pt idx="39">
                  <c:v>1.901</c:v>
                </c:pt>
                <c:pt idx="40">
                  <c:v>1.113</c:v>
                </c:pt>
                <c:pt idx="41">
                  <c:v>1.7756000000000001</c:v>
                </c:pt>
                <c:pt idx="42">
                  <c:v>1.6503333333333334</c:v>
                </c:pt>
                <c:pt idx="43">
                  <c:v>1.9232</c:v>
                </c:pt>
                <c:pt idx="44">
                  <c:v>1.9448333333333334</c:v>
                </c:pt>
                <c:pt idx="45">
                  <c:v>1.4126000000000001</c:v>
                </c:pt>
                <c:pt idx="46">
                  <c:v>3.9523999999999999</c:v>
                </c:pt>
                <c:pt idx="47">
                  <c:v>1.9758888888888888</c:v>
                </c:pt>
                <c:pt idx="48">
                  <c:v>1.4414285714285715</c:v>
                </c:pt>
                <c:pt idx="49">
                  <c:v>2.3976000000000002</c:v>
                </c:pt>
                <c:pt idx="50">
                  <c:v>3.0448</c:v>
                </c:pt>
                <c:pt idx="51">
                  <c:v>2.9268749999999999</c:v>
                </c:pt>
                <c:pt idx="52">
                  <c:v>4.4812500000000002</c:v>
                </c:pt>
                <c:pt idx="53">
                  <c:v>2.2751428571428574</c:v>
                </c:pt>
                <c:pt idx="54">
                  <c:v>2.5735999999999999</c:v>
                </c:pt>
                <c:pt idx="55">
                  <c:v>2.1648000000000001</c:v>
                </c:pt>
                <c:pt idx="56">
                  <c:v>3.7480000000000002</c:v>
                </c:pt>
                <c:pt idx="57">
                  <c:v>2.863142857142857</c:v>
                </c:pt>
                <c:pt idx="58">
                  <c:v>3.2785714285714285</c:v>
                </c:pt>
                <c:pt idx="59">
                  <c:v>2.1375000000000002</c:v>
                </c:pt>
                <c:pt idx="60">
                  <c:v>2.1</c:v>
                </c:pt>
                <c:pt idx="61">
                  <c:v>1.7777777777777777</c:v>
                </c:pt>
                <c:pt idx="62">
                  <c:v>1.2865</c:v>
                </c:pt>
                <c:pt idx="63">
                  <c:v>2.3515000000000001</c:v>
                </c:pt>
                <c:pt idx="64">
                  <c:v>1.8484</c:v>
                </c:pt>
                <c:pt idx="65">
                  <c:v>1.7166666666666666</c:v>
                </c:pt>
                <c:pt idx="66">
                  <c:v>1.3611111111111112</c:v>
                </c:pt>
                <c:pt idx="67">
                  <c:v>2.6583333333333332</c:v>
                </c:pt>
                <c:pt idx="68">
                  <c:v>3.2833333333333332</c:v>
                </c:pt>
                <c:pt idx="69">
                  <c:v>3.2092000000000001</c:v>
                </c:pt>
                <c:pt idx="70">
                  <c:v>3.2875000000000001</c:v>
                </c:pt>
                <c:pt idx="71">
                  <c:v>11.54</c:v>
                </c:pt>
                <c:pt idx="72">
                  <c:v>5.7857142857142856</c:v>
                </c:pt>
                <c:pt idx="73">
                  <c:v>3.6218888888888889</c:v>
                </c:pt>
                <c:pt idx="74">
                  <c:v>2.5916666666666668</c:v>
                </c:pt>
                <c:pt idx="75">
                  <c:v>5.7842000000000002</c:v>
                </c:pt>
                <c:pt idx="76">
                  <c:v>3.0206666666666666</c:v>
                </c:pt>
                <c:pt idx="77">
                  <c:v>1.1131666666666666</c:v>
                </c:pt>
                <c:pt idx="78">
                  <c:v>1.5139130434782608</c:v>
                </c:pt>
                <c:pt idx="79">
                  <c:v>2.2003200000000001</c:v>
                </c:pt>
                <c:pt idx="80">
                  <c:v>4.100133333333333</c:v>
                </c:pt>
                <c:pt idx="81">
                  <c:v>2.6650666666666667</c:v>
                </c:pt>
                <c:pt idx="82">
                  <c:v>1.8149285714285714</c:v>
                </c:pt>
                <c:pt idx="83">
                  <c:v>2.1524166666666669</c:v>
                </c:pt>
                <c:pt idx="84">
                  <c:v>1.7433571428571428</c:v>
                </c:pt>
                <c:pt idx="85">
                  <c:v>1.4</c:v>
                </c:pt>
                <c:pt idx="86">
                  <c:v>1.0191874999999999</c:v>
                </c:pt>
                <c:pt idx="87">
                  <c:v>1.1000000000000001</c:v>
                </c:pt>
                <c:pt idx="88">
                  <c:v>1.6543333333333334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9F-4214-8811-ED553D55B20A}"/>
            </c:ext>
          </c:extLst>
        </c:ser>
        <c:ser>
          <c:idx val="2"/>
          <c:order val="2"/>
          <c:tx>
            <c:strRef>
              <c:f>Tbills!$AU$2:$AU$3</c:f>
              <c:strCache>
                <c:ptCount val="2"/>
                <c:pt idx="0">
                  <c:v> 364.0 </c:v>
                </c:pt>
                <c:pt idx="1">
                  <c:v> days </c:v>
                </c:pt>
              </c:strCache>
            </c:strRef>
          </c:tx>
          <c:spPr>
            <a:ln w="28575" cap="rnd">
              <a:solidFill>
                <a:schemeClr val="dk1">
                  <a:tint val="75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Tbills!$AR$9:$AR$97</c:f>
              <c:numCache>
                <c:formatCode>mm/dd/yy;@</c:formatCode>
                <c:ptCount val="89"/>
                <c:pt idx="0">
                  <c:v>43502</c:v>
                </c:pt>
                <c:pt idx="1">
                  <c:v>43509</c:v>
                </c:pt>
                <c:pt idx="2">
                  <c:v>43516</c:v>
                </c:pt>
                <c:pt idx="3">
                  <c:v>43523</c:v>
                </c:pt>
                <c:pt idx="4">
                  <c:v>43530</c:v>
                </c:pt>
                <c:pt idx="5">
                  <c:v>43537</c:v>
                </c:pt>
                <c:pt idx="6">
                  <c:v>43543</c:v>
                </c:pt>
                <c:pt idx="7">
                  <c:v>43551</c:v>
                </c:pt>
                <c:pt idx="8">
                  <c:v>43558</c:v>
                </c:pt>
                <c:pt idx="9">
                  <c:v>43565</c:v>
                </c:pt>
                <c:pt idx="10">
                  <c:v>43571</c:v>
                </c:pt>
                <c:pt idx="11">
                  <c:v>43579</c:v>
                </c:pt>
                <c:pt idx="12">
                  <c:v>43585</c:v>
                </c:pt>
                <c:pt idx="13">
                  <c:v>43593</c:v>
                </c:pt>
                <c:pt idx="14">
                  <c:v>43600</c:v>
                </c:pt>
                <c:pt idx="15">
                  <c:v>43607</c:v>
                </c:pt>
                <c:pt idx="16">
                  <c:v>43614</c:v>
                </c:pt>
                <c:pt idx="17">
                  <c:v>43620</c:v>
                </c:pt>
                <c:pt idx="18">
                  <c:v>43628</c:v>
                </c:pt>
                <c:pt idx="19">
                  <c:v>43635</c:v>
                </c:pt>
                <c:pt idx="20">
                  <c:v>43642</c:v>
                </c:pt>
                <c:pt idx="21">
                  <c:v>43649</c:v>
                </c:pt>
                <c:pt idx="22">
                  <c:v>43656</c:v>
                </c:pt>
                <c:pt idx="23">
                  <c:v>43663</c:v>
                </c:pt>
                <c:pt idx="24">
                  <c:v>43670</c:v>
                </c:pt>
                <c:pt idx="25">
                  <c:v>43677</c:v>
                </c:pt>
                <c:pt idx="26">
                  <c:v>43684</c:v>
                </c:pt>
                <c:pt idx="27">
                  <c:v>43690</c:v>
                </c:pt>
                <c:pt idx="28">
                  <c:v>43698</c:v>
                </c:pt>
                <c:pt idx="29">
                  <c:v>43705</c:v>
                </c:pt>
                <c:pt idx="30">
                  <c:v>43712</c:v>
                </c:pt>
                <c:pt idx="31">
                  <c:v>43718</c:v>
                </c:pt>
                <c:pt idx="32">
                  <c:v>43726</c:v>
                </c:pt>
                <c:pt idx="33">
                  <c:v>43733</c:v>
                </c:pt>
                <c:pt idx="34">
                  <c:v>43740</c:v>
                </c:pt>
                <c:pt idx="35">
                  <c:v>43747</c:v>
                </c:pt>
                <c:pt idx="36">
                  <c:v>43754</c:v>
                </c:pt>
                <c:pt idx="37">
                  <c:v>43761</c:v>
                </c:pt>
                <c:pt idx="38">
                  <c:v>43768</c:v>
                </c:pt>
                <c:pt idx="39">
                  <c:v>43775</c:v>
                </c:pt>
                <c:pt idx="40">
                  <c:v>43782</c:v>
                </c:pt>
                <c:pt idx="41">
                  <c:v>43789</c:v>
                </c:pt>
                <c:pt idx="42">
                  <c:v>43796</c:v>
                </c:pt>
                <c:pt idx="43">
                  <c:v>43803</c:v>
                </c:pt>
                <c:pt idx="44">
                  <c:v>43809</c:v>
                </c:pt>
                <c:pt idx="45">
                  <c:v>43817</c:v>
                </c:pt>
                <c:pt idx="46">
                  <c:v>43823</c:v>
                </c:pt>
                <c:pt idx="47">
                  <c:v>43831</c:v>
                </c:pt>
                <c:pt idx="48">
                  <c:v>43837</c:v>
                </c:pt>
                <c:pt idx="49">
                  <c:v>43844</c:v>
                </c:pt>
                <c:pt idx="50">
                  <c:v>43852</c:v>
                </c:pt>
                <c:pt idx="51">
                  <c:v>43859</c:v>
                </c:pt>
                <c:pt idx="52">
                  <c:v>43866</c:v>
                </c:pt>
                <c:pt idx="53">
                  <c:v>43873</c:v>
                </c:pt>
                <c:pt idx="54">
                  <c:v>43879</c:v>
                </c:pt>
                <c:pt idx="55">
                  <c:v>43887</c:v>
                </c:pt>
                <c:pt idx="56">
                  <c:v>43894</c:v>
                </c:pt>
                <c:pt idx="57">
                  <c:v>43901</c:v>
                </c:pt>
                <c:pt idx="58">
                  <c:v>43908</c:v>
                </c:pt>
                <c:pt idx="59">
                  <c:v>43915</c:v>
                </c:pt>
                <c:pt idx="60">
                  <c:v>43922</c:v>
                </c:pt>
                <c:pt idx="61">
                  <c:v>43927</c:v>
                </c:pt>
                <c:pt idx="62">
                  <c:v>43936</c:v>
                </c:pt>
                <c:pt idx="63">
                  <c:v>43943</c:v>
                </c:pt>
                <c:pt idx="64">
                  <c:v>43949</c:v>
                </c:pt>
                <c:pt idx="65">
                  <c:v>43955</c:v>
                </c:pt>
                <c:pt idx="66">
                  <c:v>43964</c:v>
                </c:pt>
                <c:pt idx="67">
                  <c:v>43971</c:v>
                </c:pt>
                <c:pt idx="68">
                  <c:v>43978</c:v>
                </c:pt>
                <c:pt idx="69">
                  <c:v>43984</c:v>
                </c:pt>
                <c:pt idx="70">
                  <c:v>43992</c:v>
                </c:pt>
                <c:pt idx="71">
                  <c:v>43999</c:v>
                </c:pt>
                <c:pt idx="72">
                  <c:v>44006</c:v>
                </c:pt>
                <c:pt idx="73">
                  <c:v>44013</c:v>
                </c:pt>
                <c:pt idx="74">
                  <c:v>44020</c:v>
                </c:pt>
                <c:pt idx="75">
                  <c:v>44027</c:v>
                </c:pt>
                <c:pt idx="76">
                  <c:v>44034</c:v>
                </c:pt>
                <c:pt idx="77">
                  <c:v>44041</c:v>
                </c:pt>
                <c:pt idx="78">
                  <c:v>44048</c:v>
                </c:pt>
                <c:pt idx="79">
                  <c:v>44055</c:v>
                </c:pt>
                <c:pt idx="80">
                  <c:v>44062</c:v>
                </c:pt>
                <c:pt idx="81">
                  <c:v>44069</c:v>
                </c:pt>
                <c:pt idx="82">
                  <c:v>44076</c:v>
                </c:pt>
                <c:pt idx="83">
                  <c:v>44083</c:v>
                </c:pt>
                <c:pt idx="84">
                  <c:v>44090</c:v>
                </c:pt>
                <c:pt idx="85">
                  <c:v>44097</c:v>
                </c:pt>
                <c:pt idx="86">
                  <c:v>44103</c:v>
                </c:pt>
                <c:pt idx="87">
                  <c:v>44111</c:v>
                </c:pt>
                <c:pt idx="88">
                  <c:v>44118</c:v>
                </c:pt>
              </c:numCache>
            </c:numRef>
          </c:cat>
          <c:val>
            <c:numRef>
              <c:f>Tbills!$AU$9:$AU$97</c:f>
              <c:numCache>
                <c:formatCode>_(* #,##0.0_);_(* \(#,##0.0\);_(* "-"??_);_(@_)</c:formatCode>
                <c:ptCount val="89"/>
                <c:pt idx="0">
                  <c:v>2.9032499999999999</c:v>
                </c:pt>
                <c:pt idx="1">
                  <c:v>3.1197857142857144</c:v>
                </c:pt>
                <c:pt idx="2">
                  <c:v>4.2381904761904758</c:v>
                </c:pt>
                <c:pt idx="3">
                  <c:v>3.3563999999999998</c:v>
                </c:pt>
                <c:pt idx="4">
                  <c:v>4.3041428571428568</c:v>
                </c:pt>
                <c:pt idx="5">
                  <c:v>3.20825</c:v>
                </c:pt>
                <c:pt idx="6">
                  <c:v>2.84185</c:v>
                </c:pt>
                <c:pt idx="7">
                  <c:v>3.7343500000000001</c:v>
                </c:pt>
                <c:pt idx="8">
                  <c:v>4.3527500000000003</c:v>
                </c:pt>
                <c:pt idx="9">
                  <c:v>3.5848</c:v>
                </c:pt>
                <c:pt idx="10">
                  <c:v>3.6635333333333335</c:v>
                </c:pt>
                <c:pt idx="11">
                  <c:v>2.8301249999999998</c:v>
                </c:pt>
                <c:pt idx="12">
                  <c:v>3.7739444444444445</c:v>
                </c:pt>
                <c:pt idx="13">
                  <c:v>6.1223571428571431</c:v>
                </c:pt>
                <c:pt idx="14">
                  <c:v>4.4853846153846151</c:v>
                </c:pt>
                <c:pt idx="15">
                  <c:v>4.6270769230769231</c:v>
                </c:pt>
                <c:pt idx="16">
                  <c:v>2.0681428571428571</c:v>
                </c:pt>
                <c:pt idx="17">
                  <c:v>2.1983571428571427</c:v>
                </c:pt>
                <c:pt idx="18">
                  <c:v>2.081818181818182</c:v>
                </c:pt>
                <c:pt idx="19">
                  <c:v>2.8516666666666666</c:v>
                </c:pt>
                <c:pt idx="20">
                  <c:v>5.553529411764706</c:v>
                </c:pt>
                <c:pt idx="21">
                  <c:v>2.5683333333333334</c:v>
                </c:pt>
                <c:pt idx="22">
                  <c:v>3.0379310344827588</c:v>
                </c:pt>
                <c:pt idx="23">
                  <c:v>2.478787878787879</c:v>
                </c:pt>
                <c:pt idx="24">
                  <c:v>2.6321111111111111</c:v>
                </c:pt>
                <c:pt idx="25">
                  <c:v>3.2858461538461539</c:v>
                </c:pt>
                <c:pt idx="26">
                  <c:v>2.0213793103448277</c:v>
                </c:pt>
                <c:pt idx="27">
                  <c:v>1.4446874999999999</c:v>
                </c:pt>
                <c:pt idx="28">
                  <c:v>1.89</c:v>
                </c:pt>
                <c:pt idx="29">
                  <c:v>2.5809523809523811</c:v>
                </c:pt>
                <c:pt idx="30">
                  <c:v>2.0538461538461537</c:v>
                </c:pt>
                <c:pt idx="31">
                  <c:v>1.75</c:v>
                </c:pt>
                <c:pt idx="32">
                  <c:v>3.1741818181818182</c:v>
                </c:pt>
                <c:pt idx="33">
                  <c:v>2.1835</c:v>
                </c:pt>
                <c:pt idx="34">
                  <c:v>2.8604705882352941</c:v>
                </c:pt>
                <c:pt idx="35">
                  <c:v>2.3679166666666664</c:v>
                </c:pt>
                <c:pt idx="36">
                  <c:v>2.9081600000000001</c:v>
                </c:pt>
                <c:pt idx="37">
                  <c:v>1.8133333333333332</c:v>
                </c:pt>
                <c:pt idx="38">
                  <c:v>1.5295652173913044</c:v>
                </c:pt>
                <c:pt idx="39">
                  <c:v>1.45</c:v>
                </c:pt>
                <c:pt idx="40">
                  <c:v>1.7424999999999999</c:v>
                </c:pt>
                <c:pt idx="41">
                  <c:v>6.0555000000000003</c:v>
                </c:pt>
                <c:pt idx="42">
                  <c:v>2.2853888888888889</c:v>
                </c:pt>
                <c:pt idx="43">
                  <c:v>2.4710000000000001</c:v>
                </c:pt>
                <c:pt idx="44">
                  <c:v>1.7471428571428571</c:v>
                </c:pt>
                <c:pt idx="45">
                  <c:v>1.8712</c:v>
                </c:pt>
                <c:pt idx="46">
                  <c:v>2.1856</c:v>
                </c:pt>
                <c:pt idx="47">
                  <c:v>2.7521428571428572</c:v>
                </c:pt>
                <c:pt idx="48">
                  <c:v>2.1921875000000002</c:v>
                </c:pt>
                <c:pt idx="49">
                  <c:v>2.4166249999999998</c:v>
                </c:pt>
                <c:pt idx="50">
                  <c:v>2.0978787878787877</c:v>
                </c:pt>
                <c:pt idx="51">
                  <c:v>3.2853142857142856</c:v>
                </c:pt>
                <c:pt idx="52">
                  <c:v>2.4735555555555555</c:v>
                </c:pt>
                <c:pt idx="53">
                  <c:v>2.4569333333333332</c:v>
                </c:pt>
                <c:pt idx="54">
                  <c:v>3.1174166666666667</c:v>
                </c:pt>
                <c:pt idx="55">
                  <c:v>5.2453599999999998</c:v>
                </c:pt>
                <c:pt idx="56">
                  <c:v>4.0118666666666662</c:v>
                </c:pt>
                <c:pt idx="57">
                  <c:v>2.7673125000000001</c:v>
                </c:pt>
                <c:pt idx="58">
                  <c:v>3.3229166666666665</c:v>
                </c:pt>
                <c:pt idx="59">
                  <c:v>2.665</c:v>
                </c:pt>
                <c:pt idx="60">
                  <c:v>1.5214285714285714</c:v>
                </c:pt>
                <c:pt idx="61">
                  <c:v>1.3178571428571428</c:v>
                </c:pt>
                <c:pt idx="62">
                  <c:v>1.3038461538461539</c:v>
                </c:pt>
                <c:pt idx="63">
                  <c:v>1.2809444444444444</c:v>
                </c:pt>
                <c:pt idx="64">
                  <c:v>1.3833333333333333</c:v>
                </c:pt>
                <c:pt idx="65">
                  <c:v>1.119375</c:v>
                </c:pt>
                <c:pt idx="66">
                  <c:v>1.4728571428571429</c:v>
                </c:pt>
                <c:pt idx="67">
                  <c:v>1.8816875</c:v>
                </c:pt>
                <c:pt idx="68">
                  <c:v>1.4176249999999999</c:v>
                </c:pt>
                <c:pt idx="69">
                  <c:v>2.5579999999999998</c:v>
                </c:pt>
                <c:pt idx="70">
                  <c:v>1.3583333333333334</c:v>
                </c:pt>
                <c:pt idx="71">
                  <c:v>5.3898333333333337</c:v>
                </c:pt>
                <c:pt idx="72">
                  <c:v>4.8769375000000004</c:v>
                </c:pt>
                <c:pt idx="73">
                  <c:v>2.3023888888888888</c:v>
                </c:pt>
                <c:pt idx="74">
                  <c:v>2.1216216216216215</c:v>
                </c:pt>
                <c:pt idx="75">
                  <c:v>3.5466666666666669</c:v>
                </c:pt>
                <c:pt idx="76">
                  <c:v>1.3271020408163265</c:v>
                </c:pt>
                <c:pt idx="77">
                  <c:v>1.1432244897959183</c:v>
                </c:pt>
                <c:pt idx="78">
                  <c:v>1.2777777777777777</c:v>
                </c:pt>
                <c:pt idx="79">
                  <c:v>1.2815624999999999</c:v>
                </c:pt>
                <c:pt idx="80">
                  <c:v>2.0674999999999999</c:v>
                </c:pt>
                <c:pt idx="81">
                  <c:v>1.2</c:v>
                </c:pt>
                <c:pt idx="82">
                  <c:v>1.55</c:v>
                </c:pt>
                <c:pt idx="83">
                  <c:v>1.4277777777777778</c:v>
                </c:pt>
                <c:pt idx="84">
                  <c:v>1.0455555555555556</c:v>
                </c:pt>
                <c:pt idx="85">
                  <c:v>1.2070000000000001</c:v>
                </c:pt>
                <c:pt idx="86">
                  <c:v>1.0305</c:v>
                </c:pt>
                <c:pt idx="87">
                  <c:v>1.2298285714285715</c:v>
                </c:pt>
                <c:pt idx="88">
                  <c:v>2.8393125000000001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9F-4214-8811-ED553D55B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1455071"/>
        <c:axId val="1138349503"/>
      </c:lineChart>
      <c:dateAx>
        <c:axId val="1461455071"/>
        <c:scaling>
          <c:orientation val="minMax"/>
        </c:scaling>
        <c:delete val="0"/>
        <c:axPos val="b"/>
        <c:numFmt formatCode="mm/d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49503"/>
        <c:crosses val="autoZero"/>
        <c:auto val="0"/>
        <c:lblOffset val="100"/>
        <c:baseTimeUnit val="days"/>
      </c:dateAx>
      <c:valAx>
        <c:axId val="1138349503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455071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Tbills!$AM$2:$AM$3</c:f>
              <c:strCache>
                <c:ptCount val="2"/>
                <c:pt idx="0">
                  <c:v>Bills not taken up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Tbills!$AH$4:$AH$157</c:f>
              <c:numCache>
                <c:formatCode>mm/dd/yy;@</c:formatCode>
                <c:ptCount val="154"/>
                <c:pt idx="0">
                  <c:v>43103</c:v>
                </c:pt>
                <c:pt idx="1">
                  <c:v>43110</c:v>
                </c:pt>
                <c:pt idx="2">
                  <c:v>43117</c:v>
                </c:pt>
                <c:pt idx="3">
                  <c:v>43124</c:v>
                </c:pt>
                <c:pt idx="4">
                  <c:v>43130</c:v>
                </c:pt>
                <c:pt idx="5">
                  <c:v>43138</c:v>
                </c:pt>
                <c:pt idx="6">
                  <c:v>43145</c:v>
                </c:pt>
                <c:pt idx="7">
                  <c:v>43152</c:v>
                </c:pt>
                <c:pt idx="8">
                  <c:v>43158</c:v>
                </c:pt>
                <c:pt idx="9">
                  <c:v>43166</c:v>
                </c:pt>
                <c:pt idx="10">
                  <c:v>43173</c:v>
                </c:pt>
                <c:pt idx="11">
                  <c:v>43180</c:v>
                </c:pt>
                <c:pt idx="12">
                  <c:v>43186</c:v>
                </c:pt>
                <c:pt idx="13">
                  <c:v>43194</c:v>
                </c:pt>
                <c:pt idx="14">
                  <c:v>43200</c:v>
                </c:pt>
                <c:pt idx="15">
                  <c:v>43215</c:v>
                </c:pt>
                <c:pt idx="16">
                  <c:v>43222</c:v>
                </c:pt>
                <c:pt idx="17">
                  <c:v>43229</c:v>
                </c:pt>
                <c:pt idx="18">
                  <c:v>43236</c:v>
                </c:pt>
                <c:pt idx="19">
                  <c:v>43243</c:v>
                </c:pt>
                <c:pt idx="20">
                  <c:v>43250</c:v>
                </c:pt>
                <c:pt idx="21">
                  <c:v>43257</c:v>
                </c:pt>
                <c:pt idx="22">
                  <c:v>43263</c:v>
                </c:pt>
                <c:pt idx="23">
                  <c:v>43271</c:v>
                </c:pt>
                <c:pt idx="24">
                  <c:v>43277</c:v>
                </c:pt>
                <c:pt idx="25">
                  <c:v>43285</c:v>
                </c:pt>
                <c:pt idx="26">
                  <c:v>43292</c:v>
                </c:pt>
                <c:pt idx="27">
                  <c:v>43299</c:v>
                </c:pt>
                <c:pt idx="28">
                  <c:v>43305</c:v>
                </c:pt>
                <c:pt idx="29">
                  <c:v>43313</c:v>
                </c:pt>
                <c:pt idx="30">
                  <c:v>43320</c:v>
                </c:pt>
                <c:pt idx="31">
                  <c:v>43327</c:v>
                </c:pt>
                <c:pt idx="32">
                  <c:v>43333</c:v>
                </c:pt>
                <c:pt idx="33">
                  <c:v>43341</c:v>
                </c:pt>
                <c:pt idx="34">
                  <c:v>43348</c:v>
                </c:pt>
                <c:pt idx="35">
                  <c:v>43355</c:v>
                </c:pt>
                <c:pt idx="36">
                  <c:v>43362</c:v>
                </c:pt>
                <c:pt idx="37">
                  <c:v>43369</c:v>
                </c:pt>
                <c:pt idx="38">
                  <c:v>43376</c:v>
                </c:pt>
                <c:pt idx="39">
                  <c:v>43383</c:v>
                </c:pt>
                <c:pt idx="40">
                  <c:v>43390</c:v>
                </c:pt>
                <c:pt idx="41">
                  <c:v>43396</c:v>
                </c:pt>
                <c:pt idx="42">
                  <c:v>43404</c:v>
                </c:pt>
                <c:pt idx="43">
                  <c:v>43411</c:v>
                </c:pt>
                <c:pt idx="44">
                  <c:v>43418</c:v>
                </c:pt>
                <c:pt idx="45">
                  <c:v>43423</c:v>
                </c:pt>
                <c:pt idx="46">
                  <c:v>43432</c:v>
                </c:pt>
                <c:pt idx="47">
                  <c:v>43439</c:v>
                </c:pt>
                <c:pt idx="48">
                  <c:v>43446</c:v>
                </c:pt>
                <c:pt idx="49">
                  <c:v>43453</c:v>
                </c:pt>
                <c:pt idx="50">
                  <c:v>43467</c:v>
                </c:pt>
                <c:pt idx="51">
                  <c:v>43474</c:v>
                </c:pt>
                <c:pt idx="52">
                  <c:v>43481</c:v>
                </c:pt>
                <c:pt idx="53">
                  <c:v>43488</c:v>
                </c:pt>
                <c:pt idx="54">
                  <c:v>43495</c:v>
                </c:pt>
                <c:pt idx="55">
                  <c:v>43502</c:v>
                </c:pt>
                <c:pt idx="56">
                  <c:v>43509</c:v>
                </c:pt>
                <c:pt idx="57">
                  <c:v>43516</c:v>
                </c:pt>
                <c:pt idx="58">
                  <c:v>43523</c:v>
                </c:pt>
                <c:pt idx="59">
                  <c:v>43530</c:v>
                </c:pt>
                <c:pt idx="60">
                  <c:v>43537</c:v>
                </c:pt>
                <c:pt idx="61">
                  <c:v>43543</c:v>
                </c:pt>
                <c:pt idx="62">
                  <c:v>43551</c:v>
                </c:pt>
                <c:pt idx="63">
                  <c:v>43558</c:v>
                </c:pt>
                <c:pt idx="64">
                  <c:v>43565</c:v>
                </c:pt>
                <c:pt idx="65">
                  <c:v>43571</c:v>
                </c:pt>
                <c:pt idx="66">
                  <c:v>43579</c:v>
                </c:pt>
                <c:pt idx="67">
                  <c:v>43585</c:v>
                </c:pt>
                <c:pt idx="68">
                  <c:v>43593</c:v>
                </c:pt>
                <c:pt idx="69">
                  <c:v>43600</c:v>
                </c:pt>
                <c:pt idx="70">
                  <c:v>43607</c:v>
                </c:pt>
                <c:pt idx="71">
                  <c:v>43614</c:v>
                </c:pt>
                <c:pt idx="72">
                  <c:v>43620</c:v>
                </c:pt>
                <c:pt idx="73">
                  <c:v>43628</c:v>
                </c:pt>
                <c:pt idx="74">
                  <c:v>43635</c:v>
                </c:pt>
                <c:pt idx="75">
                  <c:v>43642</c:v>
                </c:pt>
                <c:pt idx="76">
                  <c:v>43649</c:v>
                </c:pt>
                <c:pt idx="77">
                  <c:v>43656</c:v>
                </c:pt>
                <c:pt idx="78">
                  <c:v>43663</c:v>
                </c:pt>
                <c:pt idx="79">
                  <c:v>43670</c:v>
                </c:pt>
                <c:pt idx="80">
                  <c:v>43677</c:v>
                </c:pt>
                <c:pt idx="81">
                  <c:v>43684</c:v>
                </c:pt>
                <c:pt idx="82">
                  <c:v>43690</c:v>
                </c:pt>
                <c:pt idx="83">
                  <c:v>43698</c:v>
                </c:pt>
                <c:pt idx="84">
                  <c:v>43705</c:v>
                </c:pt>
                <c:pt idx="85">
                  <c:v>43712</c:v>
                </c:pt>
                <c:pt idx="86">
                  <c:v>43718</c:v>
                </c:pt>
                <c:pt idx="87">
                  <c:v>43726</c:v>
                </c:pt>
                <c:pt idx="88">
                  <c:v>43733</c:v>
                </c:pt>
                <c:pt idx="89">
                  <c:v>43740</c:v>
                </c:pt>
                <c:pt idx="90">
                  <c:v>43747</c:v>
                </c:pt>
                <c:pt idx="91">
                  <c:v>43754</c:v>
                </c:pt>
                <c:pt idx="92">
                  <c:v>43761</c:v>
                </c:pt>
                <c:pt idx="93">
                  <c:v>43768</c:v>
                </c:pt>
                <c:pt idx="94">
                  <c:v>43775</c:v>
                </c:pt>
                <c:pt idx="95">
                  <c:v>43782</c:v>
                </c:pt>
                <c:pt idx="96">
                  <c:v>43789</c:v>
                </c:pt>
                <c:pt idx="97">
                  <c:v>43796</c:v>
                </c:pt>
                <c:pt idx="98">
                  <c:v>43803</c:v>
                </c:pt>
                <c:pt idx="99">
                  <c:v>43809</c:v>
                </c:pt>
                <c:pt idx="100">
                  <c:v>43817</c:v>
                </c:pt>
                <c:pt idx="101">
                  <c:v>43823</c:v>
                </c:pt>
                <c:pt idx="102">
                  <c:v>43831</c:v>
                </c:pt>
                <c:pt idx="103">
                  <c:v>43837</c:v>
                </c:pt>
                <c:pt idx="104">
                  <c:v>43844</c:v>
                </c:pt>
                <c:pt idx="105">
                  <c:v>43852</c:v>
                </c:pt>
                <c:pt idx="106">
                  <c:v>43859</c:v>
                </c:pt>
                <c:pt idx="107">
                  <c:v>43866</c:v>
                </c:pt>
                <c:pt idx="108">
                  <c:v>43873</c:v>
                </c:pt>
                <c:pt idx="109">
                  <c:v>43879</c:v>
                </c:pt>
                <c:pt idx="110">
                  <c:v>43887</c:v>
                </c:pt>
                <c:pt idx="111">
                  <c:v>43894</c:v>
                </c:pt>
                <c:pt idx="112">
                  <c:v>43901</c:v>
                </c:pt>
                <c:pt idx="113">
                  <c:v>43908</c:v>
                </c:pt>
                <c:pt idx="114">
                  <c:v>43915</c:v>
                </c:pt>
                <c:pt idx="115">
                  <c:v>43922</c:v>
                </c:pt>
                <c:pt idx="116">
                  <c:v>43927</c:v>
                </c:pt>
                <c:pt idx="117">
                  <c:v>43936</c:v>
                </c:pt>
                <c:pt idx="118">
                  <c:v>43943</c:v>
                </c:pt>
                <c:pt idx="119">
                  <c:v>43949</c:v>
                </c:pt>
                <c:pt idx="120">
                  <c:v>43955</c:v>
                </c:pt>
                <c:pt idx="121">
                  <c:v>43964</c:v>
                </c:pt>
                <c:pt idx="122">
                  <c:v>43971</c:v>
                </c:pt>
                <c:pt idx="123">
                  <c:v>43978</c:v>
                </c:pt>
                <c:pt idx="124">
                  <c:v>43984</c:v>
                </c:pt>
                <c:pt idx="125">
                  <c:v>43992</c:v>
                </c:pt>
                <c:pt idx="126">
                  <c:v>43999</c:v>
                </c:pt>
                <c:pt idx="127">
                  <c:v>44006</c:v>
                </c:pt>
                <c:pt idx="128">
                  <c:v>44013</c:v>
                </c:pt>
                <c:pt idx="129">
                  <c:v>44020</c:v>
                </c:pt>
                <c:pt idx="130">
                  <c:v>44027</c:v>
                </c:pt>
                <c:pt idx="131">
                  <c:v>44034</c:v>
                </c:pt>
                <c:pt idx="132">
                  <c:v>44041</c:v>
                </c:pt>
                <c:pt idx="133">
                  <c:v>44048</c:v>
                </c:pt>
                <c:pt idx="134">
                  <c:v>44055</c:v>
                </c:pt>
                <c:pt idx="135">
                  <c:v>44062</c:v>
                </c:pt>
                <c:pt idx="136">
                  <c:v>44069</c:v>
                </c:pt>
                <c:pt idx="137">
                  <c:v>44076</c:v>
                </c:pt>
                <c:pt idx="138">
                  <c:v>44083</c:v>
                </c:pt>
                <c:pt idx="139">
                  <c:v>44090</c:v>
                </c:pt>
                <c:pt idx="140">
                  <c:v>44097</c:v>
                </c:pt>
                <c:pt idx="141">
                  <c:v>44103</c:v>
                </c:pt>
                <c:pt idx="142">
                  <c:v>44111</c:v>
                </c:pt>
                <c:pt idx="143">
                  <c:v>44118</c:v>
                </c:pt>
                <c:pt idx="144">
                  <c:v>44125</c:v>
                </c:pt>
                <c:pt idx="145">
                  <c:v>44131</c:v>
                </c:pt>
                <c:pt idx="146">
                  <c:v>44139</c:v>
                </c:pt>
                <c:pt idx="147">
                  <c:v>44146</c:v>
                </c:pt>
                <c:pt idx="148">
                  <c:v>44153</c:v>
                </c:pt>
                <c:pt idx="149">
                  <c:v>44160</c:v>
                </c:pt>
                <c:pt idx="150">
                  <c:v>44167</c:v>
                </c:pt>
                <c:pt idx="151">
                  <c:v>44174</c:v>
                </c:pt>
                <c:pt idx="152">
                  <c:v>44181</c:v>
                </c:pt>
                <c:pt idx="153">
                  <c:v>44187</c:v>
                </c:pt>
              </c:numCache>
            </c:numRef>
          </c:cat>
          <c:val>
            <c:numRef>
              <c:f>Tbills!$AM$4:$AM$157</c:f>
              <c:numCache>
                <c:formatCode>General</c:formatCode>
                <c:ptCount val="154"/>
                <c:pt idx="0">
                  <c:v>-4037</c:v>
                </c:pt>
                <c:pt idx="1">
                  <c:v>0</c:v>
                </c:pt>
                <c:pt idx="2">
                  <c:v>-4173</c:v>
                </c:pt>
                <c:pt idx="3">
                  <c:v>-5341</c:v>
                </c:pt>
                <c:pt idx="4">
                  <c:v>-1466</c:v>
                </c:pt>
                <c:pt idx="5">
                  <c:v>4213</c:v>
                </c:pt>
                <c:pt idx="6">
                  <c:v>-3990</c:v>
                </c:pt>
                <c:pt idx="7">
                  <c:v>4246</c:v>
                </c:pt>
                <c:pt idx="8">
                  <c:v>17000</c:v>
                </c:pt>
                <c:pt idx="9">
                  <c:v>6169</c:v>
                </c:pt>
                <c:pt idx="10">
                  <c:v>9500</c:v>
                </c:pt>
                <c:pt idx="11">
                  <c:v>7000</c:v>
                </c:pt>
                <c:pt idx="12">
                  <c:v>12000</c:v>
                </c:pt>
                <c:pt idx="13">
                  <c:v>12000</c:v>
                </c:pt>
                <c:pt idx="14">
                  <c:v>12000</c:v>
                </c:pt>
                <c:pt idx="15">
                  <c:v>5000</c:v>
                </c:pt>
                <c:pt idx="16">
                  <c:v>9000</c:v>
                </c:pt>
                <c:pt idx="17">
                  <c:v>5034</c:v>
                </c:pt>
                <c:pt idx="18">
                  <c:v>7298</c:v>
                </c:pt>
                <c:pt idx="19">
                  <c:v>4149</c:v>
                </c:pt>
                <c:pt idx="20">
                  <c:v>3434</c:v>
                </c:pt>
                <c:pt idx="21">
                  <c:v>678</c:v>
                </c:pt>
                <c:pt idx="22">
                  <c:v>1949</c:v>
                </c:pt>
                <c:pt idx="23">
                  <c:v>0</c:v>
                </c:pt>
                <c:pt idx="24">
                  <c:v>2133</c:v>
                </c:pt>
                <c:pt idx="25">
                  <c:v>-1964</c:v>
                </c:pt>
                <c:pt idx="26">
                  <c:v>-2111</c:v>
                </c:pt>
                <c:pt idx="27">
                  <c:v>0</c:v>
                </c:pt>
                <c:pt idx="28">
                  <c:v>5700</c:v>
                </c:pt>
                <c:pt idx="29">
                  <c:v>-1169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-13500</c:v>
                </c:pt>
                <c:pt idx="37">
                  <c:v>-1698</c:v>
                </c:pt>
                <c:pt idx="38">
                  <c:v>-6000</c:v>
                </c:pt>
                <c:pt idx="39">
                  <c:v>0</c:v>
                </c:pt>
                <c:pt idx="40">
                  <c:v>-103</c:v>
                </c:pt>
                <c:pt idx="41">
                  <c:v>0</c:v>
                </c:pt>
                <c:pt idx="42">
                  <c:v>-13000</c:v>
                </c:pt>
                <c:pt idx="43">
                  <c:v>-634</c:v>
                </c:pt>
                <c:pt idx="44">
                  <c:v>-4144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-1266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-3313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-1756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-6991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-5000</c:v>
                </c:pt>
                <c:pt idx="115">
                  <c:v>-5000</c:v>
                </c:pt>
                <c:pt idx="116">
                  <c:v>-16100</c:v>
                </c:pt>
                <c:pt idx="117">
                  <c:v>-20095</c:v>
                </c:pt>
                <c:pt idx="118">
                  <c:v>-7869</c:v>
                </c:pt>
                <c:pt idx="119">
                  <c:v>-6650</c:v>
                </c:pt>
                <c:pt idx="120">
                  <c:v>-10735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-1037</c:v>
                </c:pt>
                <c:pt idx="125">
                  <c:v>-1800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-27537</c:v>
                </c:pt>
                <c:pt idx="133">
                  <c:v>-10790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-239</c:v>
                </c:pt>
                <c:pt idx="138">
                  <c:v>0</c:v>
                </c:pt>
                <c:pt idx="139">
                  <c:v>-11523</c:v>
                </c:pt>
                <c:pt idx="140">
                  <c:v>-20838</c:v>
                </c:pt>
                <c:pt idx="141">
                  <c:v>-39105</c:v>
                </c:pt>
                <c:pt idx="142">
                  <c:v>-25078</c:v>
                </c:pt>
                <c:pt idx="143">
                  <c:v>0</c:v>
                </c:pt>
                <c:pt idx="144">
                  <c:v>0</c:v>
                </c:pt>
                <c:pt idx="145">
                  <c:v>-7508</c:v>
                </c:pt>
                <c:pt idx="146">
                  <c:v>-20989</c:v>
                </c:pt>
                <c:pt idx="147">
                  <c:v>-30810</c:v>
                </c:pt>
                <c:pt idx="148">
                  <c:v>-32350</c:v>
                </c:pt>
                <c:pt idx="149">
                  <c:v>-1864</c:v>
                </c:pt>
                <c:pt idx="150">
                  <c:v>-5683</c:v>
                </c:pt>
                <c:pt idx="151">
                  <c:v>-14108</c:v>
                </c:pt>
                <c:pt idx="152">
                  <c:v>-13158</c:v>
                </c:pt>
                <c:pt idx="153">
                  <c:v>-19282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18-4048-86D8-72991F457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252880"/>
        <c:axId val="546243312"/>
      </c:lineChart>
      <c:lineChart>
        <c:grouping val="standard"/>
        <c:varyColors val="0"/>
        <c:ser>
          <c:idx val="5"/>
          <c:order val="1"/>
          <c:tx>
            <c:strRef>
              <c:f>Tbills!$AN$2:$AN$3</c:f>
              <c:strCache>
                <c:ptCount val="2"/>
                <c:pt idx="0">
                  <c:v>WAYR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Tbills!$AH$4:$AH$157</c:f>
              <c:numCache>
                <c:formatCode>mm/dd/yy;@</c:formatCode>
                <c:ptCount val="154"/>
                <c:pt idx="0">
                  <c:v>43103</c:v>
                </c:pt>
                <c:pt idx="1">
                  <c:v>43110</c:v>
                </c:pt>
                <c:pt idx="2">
                  <c:v>43117</c:v>
                </c:pt>
                <c:pt idx="3">
                  <c:v>43124</c:v>
                </c:pt>
                <c:pt idx="4">
                  <c:v>43130</c:v>
                </c:pt>
                <c:pt idx="5">
                  <c:v>43138</c:v>
                </c:pt>
                <c:pt idx="6">
                  <c:v>43145</c:v>
                </c:pt>
                <c:pt idx="7">
                  <c:v>43152</c:v>
                </c:pt>
                <c:pt idx="8">
                  <c:v>43158</c:v>
                </c:pt>
                <c:pt idx="9">
                  <c:v>43166</c:v>
                </c:pt>
                <c:pt idx="10">
                  <c:v>43173</c:v>
                </c:pt>
                <c:pt idx="11">
                  <c:v>43180</c:v>
                </c:pt>
                <c:pt idx="12">
                  <c:v>43186</c:v>
                </c:pt>
                <c:pt idx="13">
                  <c:v>43194</c:v>
                </c:pt>
                <c:pt idx="14">
                  <c:v>43200</c:v>
                </c:pt>
                <c:pt idx="15">
                  <c:v>43215</c:v>
                </c:pt>
                <c:pt idx="16">
                  <c:v>43222</c:v>
                </c:pt>
                <c:pt idx="17">
                  <c:v>43229</c:v>
                </c:pt>
                <c:pt idx="18">
                  <c:v>43236</c:v>
                </c:pt>
                <c:pt idx="19">
                  <c:v>43243</c:v>
                </c:pt>
                <c:pt idx="20">
                  <c:v>43250</c:v>
                </c:pt>
                <c:pt idx="21">
                  <c:v>43257</c:v>
                </c:pt>
                <c:pt idx="22">
                  <c:v>43263</c:v>
                </c:pt>
                <c:pt idx="23">
                  <c:v>43271</c:v>
                </c:pt>
                <c:pt idx="24">
                  <c:v>43277</c:v>
                </c:pt>
                <c:pt idx="25">
                  <c:v>43285</c:v>
                </c:pt>
                <c:pt idx="26">
                  <c:v>43292</c:v>
                </c:pt>
                <c:pt idx="27">
                  <c:v>43299</c:v>
                </c:pt>
                <c:pt idx="28">
                  <c:v>43305</c:v>
                </c:pt>
                <c:pt idx="29">
                  <c:v>43313</c:v>
                </c:pt>
                <c:pt idx="30">
                  <c:v>43320</c:v>
                </c:pt>
                <c:pt idx="31">
                  <c:v>43327</c:v>
                </c:pt>
                <c:pt idx="32">
                  <c:v>43333</c:v>
                </c:pt>
                <c:pt idx="33">
                  <c:v>43341</c:v>
                </c:pt>
                <c:pt idx="34">
                  <c:v>43348</c:v>
                </c:pt>
                <c:pt idx="35">
                  <c:v>43355</c:v>
                </c:pt>
                <c:pt idx="36">
                  <c:v>43362</c:v>
                </c:pt>
                <c:pt idx="37">
                  <c:v>43369</c:v>
                </c:pt>
                <c:pt idx="38">
                  <c:v>43376</c:v>
                </c:pt>
                <c:pt idx="39">
                  <c:v>43383</c:v>
                </c:pt>
                <c:pt idx="40">
                  <c:v>43390</c:v>
                </c:pt>
                <c:pt idx="41">
                  <c:v>43396</c:v>
                </c:pt>
                <c:pt idx="42">
                  <c:v>43404</c:v>
                </c:pt>
                <c:pt idx="43">
                  <c:v>43411</c:v>
                </c:pt>
                <c:pt idx="44">
                  <c:v>43418</c:v>
                </c:pt>
                <c:pt idx="45">
                  <c:v>43423</c:v>
                </c:pt>
                <c:pt idx="46">
                  <c:v>43432</c:v>
                </c:pt>
                <c:pt idx="47">
                  <c:v>43439</c:v>
                </c:pt>
                <c:pt idx="48">
                  <c:v>43446</c:v>
                </c:pt>
                <c:pt idx="49">
                  <c:v>43453</c:v>
                </c:pt>
                <c:pt idx="50">
                  <c:v>43467</c:v>
                </c:pt>
                <c:pt idx="51">
                  <c:v>43474</c:v>
                </c:pt>
                <c:pt idx="52">
                  <c:v>43481</c:v>
                </c:pt>
                <c:pt idx="53">
                  <c:v>43488</c:v>
                </c:pt>
                <c:pt idx="54">
                  <c:v>43495</c:v>
                </c:pt>
                <c:pt idx="55">
                  <c:v>43502</c:v>
                </c:pt>
                <c:pt idx="56">
                  <c:v>43509</c:v>
                </c:pt>
                <c:pt idx="57">
                  <c:v>43516</c:v>
                </c:pt>
                <c:pt idx="58">
                  <c:v>43523</c:v>
                </c:pt>
                <c:pt idx="59">
                  <c:v>43530</c:v>
                </c:pt>
                <c:pt idx="60">
                  <c:v>43537</c:v>
                </c:pt>
                <c:pt idx="61">
                  <c:v>43543</c:v>
                </c:pt>
                <c:pt idx="62">
                  <c:v>43551</c:v>
                </c:pt>
                <c:pt idx="63">
                  <c:v>43558</c:v>
                </c:pt>
                <c:pt idx="64">
                  <c:v>43565</c:v>
                </c:pt>
                <c:pt idx="65">
                  <c:v>43571</c:v>
                </c:pt>
                <c:pt idx="66">
                  <c:v>43579</c:v>
                </c:pt>
                <c:pt idx="67">
                  <c:v>43585</c:v>
                </c:pt>
                <c:pt idx="68">
                  <c:v>43593</c:v>
                </c:pt>
                <c:pt idx="69">
                  <c:v>43600</c:v>
                </c:pt>
                <c:pt idx="70">
                  <c:v>43607</c:v>
                </c:pt>
                <c:pt idx="71">
                  <c:v>43614</c:v>
                </c:pt>
                <c:pt idx="72">
                  <c:v>43620</c:v>
                </c:pt>
                <c:pt idx="73">
                  <c:v>43628</c:v>
                </c:pt>
                <c:pt idx="74">
                  <c:v>43635</c:v>
                </c:pt>
                <c:pt idx="75">
                  <c:v>43642</c:v>
                </c:pt>
                <c:pt idx="76">
                  <c:v>43649</c:v>
                </c:pt>
                <c:pt idx="77">
                  <c:v>43656</c:v>
                </c:pt>
                <c:pt idx="78">
                  <c:v>43663</c:v>
                </c:pt>
                <c:pt idx="79">
                  <c:v>43670</c:v>
                </c:pt>
                <c:pt idx="80">
                  <c:v>43677</c:v>
                </c:pt>
                <c:pt idx="81">
                  <c:v>43684</c:v>
                </c:pt>
                <c:pt idx="82">
                  <c:v>43690</c:v>
                </c:pt>
                <c:pt idx="83">
                  <c:v>43698</c:v>
                </c:pt>
                <c:pt idx="84">
                  <c:v>43705</c:v>
                </c:pt>
                <c:pt idx="85">
                  <c:v>43712</c:v>
                </c:pt>
                <c:pt idx="86">
                  <c:v>43718</c:v>
                </c:pt>
                <c:pt idx="87">
                  <c:v>43726</c:v>
                </c:pt>
                <c:pt idx="88">
                  <c:v>43733</c:v>
                </c:pt>
                <c:pt idx="89">
                  <c:v>43740</c:v>
                </c:pt>
                <c:pt idx="90">
                  <c:v>43747</c:v>
                </c:pt>
                <c:pt idx="91">
                  <c:v>43754</c:v>
                </c:pt>
                <c:pt idx="92">
                  <c:v>43761</c:v>
                </c:pt>
                <c:pt idx="93">
                  <c:v>43768</c:v>
                </c:pt>
                <c:pt idx="94">
                  <c:v>43775</c:v>
                </c:pt>
                <c:pt idx="95">
                  <c:v>43782</c:v>
                </c:pt>
                <c:pt idx="96">
                  <c:v>43789</c:v>
                </c:pt>
                <c:pt idx="97">
                  <c:v>43796</c:v>
                </c:pt>
                <c:pt idx="98">
                  <c:v>43803</c:v>
                </c:pt>
                <c:pt idx="99">
                  <c:v>43809</c:v>
                </c:pt>
                <c:pt idx="100">
                  <c:v>43817</c:v>
                </c:pt>
                <c:pt idx="101">
                  <c:v>43823</c:v>
                </c:pt>
                <c:pt idx="102">
                  <c:v>43831</c:v>
                </c:pt>
                <c:pt idx="103">
                  <c:v>43837</c:v>
                </c:pt>
                <c:pt idx="104">
                  <c:v>43844</c:v>
                </c:pt>
                <c:pt idx="105">
                  <c:v>43852</c:v>
                </c:pt>
                <c:pt idx="106">
                  <c:v>43859</c:v>
                </c:pt>
                <c:pt idx="107">
                  <c:v>43866</c:v>
                </c:pt>
                <c:pt idx="108">
                  <c:v>43873</c:v>
                </c:pt>
                <c:pt idx="109">
                  <c:v>43879</c:v>
                </c:pt>
                <c:pt idx="110">
                  <c:v>43887</c:v>
                </c:pt>
                <c:pt idx="111">
                  <c:v>43894</c:v>
                </c:pt>
                <c:pt idx="112">
                  <c:v>43901</c:v>
                </c:pt>
                <c:pt idx="113">
                  <c:v>43908</c:v>
                </c:pt>
                <c:pt idx="114">
                  <c:v>43915</c:v>
                </c:pt>
                <c:pt idx="115">
                  <c:v>43922</c:v>
                </c:pt>
                <c:pt idx="116">
                  <c:v>43927</c:v>
                </c:pt>
                <c:pt idx="117">
                  <c:v>43936</c:v>
                </c:pt>
                <c:pt idx="118">
                  <c:v>43943</c:v>
                </c:pt>
                <c:pt idx="119">
                  <c:v>43949</c:v>
                </c:pt>
                <c:pt idx="120">
                  <c:v>43955</c:v>
                </c:pt>
                <c:pt idx="121">
                  <c:v>43964</c:v>
                </c:pt>
                <c:pt idx="122">
                  <c:v>43971</c:v>
                </c:pt>
                <c:pt idx="123">
                  <c:v>43978</c:v>
                </c:pt>
                <c:pt idx="124">
                  <c:v>43984</c:v>
                </c:pt>
                <c:pt idx="125">
                  <c:v>43992</c:v>
                </c:pt>
                <c:pt idx="126">
                  <c:v>43999</c:v>
                </c:pt>
                <c:pt idx="127">
                  <c:v>44006</c:v>
                </c:pt>
                <c:pt idx="128">
                  <c:v>44013</c:v>
                </c:pt>
                <c:pt idx="129">
                  <c:v>44020</c:v>
                </c:pt>
                <c:pt idx="130">
                  <c:v>44027</c:v>
                </c:pt>
                <c:pt idx="131">
                  <c:v>44034</c:v>
                </c:pt>
                <c:pt idx="132">
                  <c:v>44041</c:v>
                </c:pt>
                <c:pt idx="133">
                  <c:v>44048</c:v>
                </c:pt>
                <c:pt idx="134">
                  <c:v>44055</c:v>
                </c:pt>
                <c:pt idx="135">
                  <c:v>44062</c:v>
                </c:pt>
                <c:pt idx="136">
                  <c:v>44069</c:v>
                </c:pt>
                <c:pt idx="137">
                  <c:v>44076</c:v>
                </c:pt>
                <c:pt idx="138">
                  <c:v>44083</c:v>
                </c:pt>
                <c:pt idx="139">
                  <c:v>44090</c:v>
                </c:pt>
                <c:pt idx="140">
                  <c:v>44097</c:v>
                </c:pt>
                <c:pt idx="141">
                  <c:v>44103</c:v>
                </c:pt>
                <c:pt idx="142">
                  <c:v>44111</c:v>
                </c:pt>
                <c:pt idx="143">
                  <c:v>44118</c:v>
                </c:pt>
                <c:pt idx="144">
                  <c:v>44125</c:v>
                </c:pt>
                <c:pt idx="145">
                  <c:v>44131</c:v>
                </c:pt>
                <c:pt idx="146">
                  <c:v>44139</c:v>
                </c:pt>
                <c:pt idx="147">
                  <c:v>44146</c:v>
                </c:pt>
                <c:pt idx="148">
                  <c:v>44153</c:v>
                </c:pt>
                <c:pt idx="149">
                  <c:v>44160</c:v>
                </c:pt>
                <c:pt idx="150">
                  <c:v>44167</c:v>
                </c:pt>
                <c:pt idx="151">
                  <c:v>44174</c:v>
                </c:pt>
                <c:pt idx="152">
                  <c:v>44181</c:v>
                </c:pt>
                <c:pt idx="153">
                  <c:v>44187</c:v>
                </c:pt>
              </c:numCache>
            </c:numRef>
          </c:cat>
          <c:val>
            <c:numRef>
              <c:f>Tbills!$AN$4:$AN$157</c:f>
              <c:numCache>
                <c:formatCode>General</c:formatCode>
                <c:ptCount val="154"/>
                <c:pt idx="0">
                  <c:v>8.9</c:v>
                </c:pt>
                <c:pt idx="1">
                  <c:v>8.8000000000000007</c:v>
                </c:pt>
                <c:pt idx="2">
                  <c:v>8.85</c:v>
                </c:pt>
                <c:pt idx="3">
                  <c:v>8.9</c:v>
                </c:pt>
                <c:pt idx="4">
                  <c:v>8.9</c:v>
                </c:pt>
                <c:pt idx="5">
                  <c:v>8.94</c:v>
                </c:pt>
                <c:pt idx="6">
                  <c:v>9.2799999999999994</c:v>
                </c:pt>
                <c:pt idx="7">
                  <c:v>9.4499999999999993</c:v>
                </c:pt>
                <c:pt idx="8">
                  <c:v>9.59</c:v>
                </c:pt>
                <c:pt idx="9">
                  <c:v>9.66</c:v>
                </c:pt>
                <c:pt idx="10">
                  <c:v>9.6999999999999993</c:v>
                </c:pt>
                <c:pt idx="11">
                  <c:v>9.66</c:v>
                </c:pt>
                <c:pt idx="12">
                  <c:v>9.69</c:v>
                </c:pt>
                <c:pt idx="13">
                  <c:v>9.91</c:v>
                </c:pt>
                <c:pt idx="14">
                  <c:v>9.7100000000000009</c:v>
                </c:pt>
                <c:pt idx="15">
                  <c:v>9.59</c:v>
                </c:pt>
                <c:pt idx="16">
                  <c:v>9.61</c:v>
                </c:pt>
                <c:pt idx="17">
                  <c:v>9.65</c:v>
                </c:pt>
                <c:pt idx="18">
                  <c:v>9.6999999999999993</c:v>
                </c:pt>
                <c:pt idx="19">
                  <c:v>9.73</c:v>
                </c:pt>
                <c:pt idx="20">
                  <c:v>9.6199999999999992</c:v>
                </c:pt>
                <c:pt idx="21">
                  <c:v>9.49</c:v>
                </c:pt>
                <c:pt idx="22">
                  <c:v>9.44</c:v>
                </c:pt>
                <c:pt idx="23">
                  <c:v>9.3699999999999992</c:v>
                </c:pt>
                <c:pt idx="24">
                  <c:v>9.39</c:v>
                </c:pt>
                <c:pt idx="25">
                  <c:v>9.43</c:v>
                </c:pt>
                <c:pt idx="26">
                  <c:v>9.43</c:v>
                </c:pt>
                <c:pt idx="27">
                  <c:v>9.31</c:v>
                </c:pt>
                <c:pt idx="28">
                  <c:v>9.27</c:v>
                </c:pt>
                <c:pt idx="29">
                  <c:v>9.23</c:v>
                </c:pt>
                <c:pt idx="30">
                  <c:v>9.16</c:v>
                </c:pt>
                <c:pt idx="31">
                  <c:v>9</c:v>
                </c:pt>
                <c:pt idx="32">
                  <c:v>9</c:v>
                </c:pt>
                <c:pt idx="33">
                  <c:v>8.99</c:v>
                </c:pt>
                <c:pt idx="34">
                  <c:v>8.9700000000000006</c:v>
                </c:pt>
                <c:pt idx="35">
                  <c:v>9.0500000000000007</c:v>
                </c:pt>
                <c:pt idx="36">
                  <c:v>0</c:v>
                </c:pt>
                <c:pt idx="37">
                  <c:v>9.51</c:v>
                </c:pt>
                <c:pt idx="38">
                  <c:v>0</c:v>
                </c:pt>
                <c:pt idx="39">
                  <c:v>10.19</c:v>
                </c:pt>
                <c:pt idx="40">
                  <c:v>10.44</c:v>
                </c:pt>
                <c:pt idx="41">
                  <c:v>10.39</c:v>
                </c:pt>
                <c:pt idx="42">
                  <c:v>0</c:v>
                </c:pt>
                <c:pt idx="43">
                  <c:v>10.89</c:v>
                </c:pt>
                <c:pt idx="44">
                  <c:v>11.25</c:v>
                </c:pt>
                <c:pt idx="45">
                  <c:v>11.21</c:v>
                </c:pt>
                <c:pt idx="46">
                  <c:v>11.2</c:v>
                </c:pt>
                <c:pt idx="47">
                  <c:v>11.2</c:v>
                </c:pt>
                <c:pt idx="48">
                  <c:v>11.24</c:v>
                </c:pt>
                <c:pt idx="49">
                  <c:v>11.2</c:v>
                </c:pt>
                <c:pt idx="50">
                  <c:v>10.99</c:v>
                </c:pt>
                <c:pt idx="51">
                  <c:v>10.85</c:v>
                </c:pt>
                <c:pt idx="52">
                  <c:v>10.75</c:v>
                </c:pt>
                <c:pt idx="53">
                  <c:v>10.7</c:v>
                </c:pt>
                <c:pt idx="54">
                  <c:v>10.69</c:v>
                </c:pt>
                <c:pt idx="55">
                  <c:v>10.69</c:v>
                </c:pt>
                <c:pt idx="56">
                  <c:v>10.72</c:v>
                </c:pt>
                <c:pt idx="57">
                  <c:v>10.73</c:v>
                </c:pt>
                <c:pt idx="58">
                  <c:v>10.67</c:v>
                </c:pt>
                <c:pt idx="59">
                  <c:v>10.64</c:v>
                </c:pt>
                <c:pt idx="60">
                  <c:v>10.58</c:v>
                </c:pt>
                <c:pt idx="61">
                  <c:v>10.52</c:v>
                </c:pt>
                <c:pt idx="62">
                  <c:v>10.4</c:v>
                </c:pt>
                <c:pt idx="63">
                  <c:v>10.15</c:v>
                </c:pt>
                <c:pt idx="64">
                  <c:v>9.99</c:v>
                </c:pt>
                <c:pt idx="65">
                  <c:v>9.91</c:v>
                </c:pt>
                <c:pt idx="66">
                  <c:v>9.91</c:v>
                </c:pt>
                <c:pt idx="67">
                  <c:v>9.81</c:v>
                </c:pt>
                <c:pt idx="68">
                  <c:v>9.44</c:v>
                </c:pt>
                <c:pt idx="69">
                  <c:v>9.18</c:v>
                </c:pt>
                <c:pt idx="70">
                  <c:v>8.9</c:v>
                </c:pt>
                <c:pt idx="71">
                  <c:v>8.8800000000000008</c:v>
                </c:pt>
                <c:pt idx="72">
                  <c:v>8.8800000000000008</c:v>
                </c:pt>
                <c:pt idx="73">
                  <c:v>0</c:v>
                </c:pt>
                <c:pt idx="74">
                  <c:v>8.86</c:v>
                </c:pt>
                <c:pt idx="75">
                  <c:v>8.6999999999999993</c:v>
                </c:pt>
                <c:pt idx="76">
                  <c:v>8.59</c:v>
                </c:pt>
                <c:pt idx="77">
                  <c:v>8.5399999999999991</c:v>
                </c:pt>
                <c:pt idx="78">
                  <c:v>8.4600000000000009</c:v>
                </c:pt>
                <c:pt idx="79">
                  <c:v>8.3800000000000008</c:v>
                </c:pt>
                <c:pt idx="80">
                  <c:v>8.2100000000000009</c:v>
                </c:pt>
                <c:pt idx="81">
                  <c:v>8.11</c:v>
                </c:pt>
                <c:pt idx="82">
                  <c:v>8.17</c:v>
                </c:pt>
                <c:pt idx="83">
                  <c:v>8.31</c:v>
                </c:pt>
                <c:pt idx="84">
                  <c:v>8.2200000000000006</c:v>
                </c:pt>
                <c:pt idx="85">
                  <c:v>8.33</c:v>
                </c:pt>
                <c:pt idx="86">
                  <c:v>8.36</c:v>
                </c:pt>
                <c:pt idx="87">
                  <c:v>8.41</c:v>
                </c:pt>
                <c:pt idx="88">
                  <c:v>8.41</c:v>
                </c:pt>
                <c:pt idx="89">
                  <c:v>8.41</c:v>
                </c:pt>
                <c:pt idx="90">
                  <c:v>8.41</c:v>
                </c:pt>
                <c:pt idx="91">
                  <c:v>8.35</c:v>
                </c:pt>
                <c:pt idx="92">
                  <c:v>8.34</c:v>
                </c:pt>
                <c:pt idx="93">
                  <c:v>8.35</c:v>
                </c:pt>
                <c:pt idx="94">
                  <c:v>8.41</c:v>
                </c:pt>
                <c:pt idx="95">
                  <c:v>8.51</c:v>
                </c:pt>
                <c:pt idx="96">
                  <c:v>8.2200000000000006</c:v>
                </c:pt>
                <c:pt idx="97">
                  <c:v>8.2899999999999991</c:v>
                </c:pt>
                <c:pt idx="98">
                  <c:v>8.2200000000000006</c:v>
                </c:pt>
                <c:pt idx="99">
                  <c:v>8.23</c:v>
                </c:pt>
                <c:pt idx="100">
                  <c:v>8.4499999999999993</c:v>
                </c:pt>
                <c:pt idx="101">
                  <c:v>8.4499999999999993</c:v>
                </c:pt>
                <c:pt idx="102">
                  <c:v>8.4499999999999993</c:v>
                </c:pt>
                <c:pt idx="103">
                  <c:v>8.52</c:v>
                </c:pt>
                <c:pt idx="104">
                  <c:v>8.58</c:v>
                </c:pt>
                <c:pt idx="105">
                  <c:v>8.61</c:v>
                </c:pt>
                <c:pt idx="106">
                  <c:v>8.59</c:v>
                </c:pt>
                <c:pt idx="107">
                  <c:v>8.42</c:v>
                </c:pt>
                <c:pt idx="108">
                  <c:v>8.5500000000000007</c:v>
                </c:pt>
                <c:pt idx="109">
                  <c:v>8.6</c:v>
                </c:pt>
                <c:pt idx="110">
                  <c:v>8.58</c:v>
                </c:pt>
                <c:pt idx="111">
                  <c:v>8.4600000000000009</c:v>
                </c:pt>
                <c:pt idx="112">
                  <c:v>8.48</c:v>
                </c:pt>
                <c:pt idx="113">
                  <c:v>8.32</c:v>
                </c:pt>
                <c:pt idx="114">
                  <c:v>7.5</c:v>
                </c:pt>
                <c:pt idx="115">
                  <c:v>7.4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6.94</c:v>
                </c:pt>
                <c:pt idx="122">
                  <c:v>6.93</c:v>
                </c:pt>
                <c:pt idx="123">
                  <c:v>6.93</c:v>
                </c:pt>
                <c:pt idx="124">
                  <c:v>6.68</c:v>
                </c:pt>
                <c:pt idx="125">
                  <c:v>6.92</c:v>
                </c:pt>
                <c:pt idx="126">
                  <c:v>6.62</c:v>
                </c:pt>
                <c:pt idx="127">
                  <c:v>5.66</c:v>
                </c:pt>
                <c:pt idx="128">
                  <c:v>5.45</c:v>
                </c:pt>
                <c:pt idx="129">
                  <c:v>5.32</c:v>
                </c:pt>
                <c:pt idx="130">
                  <c:v>4.91</c:v>
                </c:pt>
                <c:pt idx="131">
                  <c:v>4.8600000000000003</c:v>
                </c:pt>
                <c:pt idx="132">
                  <c:v>4.8600000000000003</c:v>
                </c:pt>
                <c:pt idx="133">
                  <c:v>4.9400000000000004</c:v>
                </c:pt>
                <c:pt idx="134">
                  <c:v>4.93</c:v>
                </c:pt>
                <c:pt idx="135">
                  <c:v>4.9000000000000004</c:v>
                </c:pt>
                <c:pt idx="136">
                  <c:v>4.8899999999999997</c:v>
                </c:pt>
                <c:pt idx="137">
                  <c:v>4.8899999999999997</c:v>
                </c:pt>
                <c:pt idx="138">
                  <c:v>4.88</c:v>
                </c:pt>
                <c:pt idx="139">
                  <c:v>4.88</c:v>
                </c:pt>
                <c:pt idx="140">
                  <c:v>4.88</c:v>
                </c:pt>
                <c:pt idx="141">
                  <c:v>4.8899999999999997</c:v>
                </c:pt>
                <c:pt idx="142">
                  <c:v>4.99</c:v>
                </c:pt>
                <c:pt idx="143">
                  <c:v>4.99</c:v>
                </c:pt>
                <c:pt idx="144">
                  <c:v>4.13</c:v>
                </c:pt>
                <c:pt idx="145">
                  <c:v>4.96</c:v>
                </c:pt>
                <c:pt idx="146">
                  <c:v>4.96</c:v>
                </c:pt>
                <c:pt idx="147">
                  <c:v>4.97</c:v>
                </c:pt>
                <c:pt idx="148">
                  <c:v>4.9800000000000004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5.01</c:v>
                </c:pt>
                <c:pt idx="153">
                  <c:v>5.03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18-4048-86D8-72991F457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255792"/>
        <c:axId val="546244144"/>
      </c:lineChart>
      <c:dateAx>
        <c:axId val="546252880"/>
        <c:scaling>
          <c:orientation val="minMax"/>
        </c:scaling>
        <c:delete val="0"/>
        <c:axPos val="b"/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43312"/>
        <c:crosses val="autoZero"/>
        <c:auto val="0"/>
        <c:lblOffset val="100"/>
        <c:baseTimeUnit val="days"/>
      </c:dateAx>
      <c:valAx>
        <c:axId val="54624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52880"/>
        <c:crosses val="autoZero"/>
        <c:crossBetween val="between"/>
      </c:valAx>
      <c:dateAx>
        <c:axId val="546255792"/>
        <c:scaling>
          <c:orientation val="minMax"/>
        </c:scaling>
        <c:delete val="1"/>
        <c:axPos val="b"/>
        <c:numFmt formatCode="mm/dd/yy;@" sourceLinked="1"/>
        <c:majorTickMark val="out"/>
        <c:minorTickMark val="none"/>
        <c:tickLblPos val="nextTo"/>
        <c:crossAx val="546244144"/>
        <c:crosses val="autoZero"/>
        <c:auto val="0"/>
        <c:lblOffset val="100"/>
        <c:baseTimeUnit val="days"/>
      </c:dateAx>
      <c:valAx>
        <c:axId val="546244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55792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Tbills!$AS$2:$AS$3</c:f>
              <c:strCache>
                <c:ptCount val="2"/>
                <c:pt idx="0">
                  <c:v> 91.0 </c:v>
                </c:pt>
                <c:pt idx="1">
                  <c:v> days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Tbills!$AR$4:$AR$108</c:f>
              <c:numCache>
                <c:formatCode>mm/dd/yy;@</c:formatCode>
                <c:ptCount val="105"/>
                <c:pt idx="0">
                  <c:v>43467</c:v>
                </c:pt>
                <c:pt idx="1">
                  <c:v>43474</c:v>
                </c:pt>
                <c:pt idx="2">
                  <c:v>43481</c:v>
                </c:pt>
                <c:pt idx="3">
                  <c:v>43488</c:v>
                </c:pt>
                <c:pt idx="4">
                  <c:v>43495</c:v>
                </c:pt>
                <c:pt idx="5">
                  <c:v>43502</c:v>
                </c:pt>
                <c:pt idx="6">
                  <c:v>43509</c:v>
                </c:pt>
                <c:pt idx="7">
                  <c:v>43516</c:v>
                </c:pt>
                <c:pt idx="8">
                  <c:v>43523</c:v>
                </c:pt>
                <c:pt idx="9">
                  <c:v>43530</c:v>
                </c:pt>
                <c:pt idx="10">
                  <c:v>43537</c:v>
                </c:pt>
                <c:pt idx="11">
                  <c:v>43543</c:v>
                </c:pt>
                <c:pt idx="12">
                  <c:v>43551</c:v>
                </c:pt>
                <c:pt idx="13">
                  <c:v>43558</c:v>
                </c:pt>
                <c:pt idx="14">
                  <c:v>43565</c:v>
                </c:pt>
                <c:pt idx="15">
                  <c:v>43571</c:v>
                </c:pt>
                <c:pt idx="16">
                  <c:v>43579</c:v>
                </c:pt>
                <c:pt idx="17">
                  <c:v>43585</c:v>
                </c:pt>
                <c:pt idx="18">
                  <c:v>43593</c:v>
                </c:pt>
                <c:pt idx="19">
                  <c:v>43600</c:v>
                </c:pt>
                <c:pt idx="20">
                  <c:v>43607</c:v>
                </c:pt>
                <c:pt idx="21">
                  <c:v>43614</c:v>
                </c:pt>
                <c:pt idx="22">
                  <c:v>43620</c:v>
                </c:pt>
                <c:pt idx="23">
                  <c:v>43628</c:v>
                </c:pt>
                <c:pt idx="24">
                  <c:v>43635</c:v>
                </c:pt>
                <c:pt idx="25">
                  <c:v>43642</c:v>
                </c:pt>
                <c:pt idx="26">
                  <c:v>43649</c:v>
                </c:pt>
                <c:pt idx="27">
                  <c:v>43656</c:v>
                </c:pt>
                <c:pt idx="28">
                  <c:v>43663</c:v>
                </c:pt>
                <c:pt idx="29">
                  <c:v>43670</c:v>
                </c:pt>
                <c:pt idx="30">
                  <c:v>43677</c:v>
                </c:pt>
                <c:pt idx="31">
                  <c:v>43684</c:v>
                </c:pt>
                <c:pt idx="32">
                  <c:v>43690</c:v>
                </c:pt>
                <c:pt idx="33">
                  <c:v>43698</c:v>
                </c:pt>
                <c:pt idx="34">
                  <c:v>43705</c:v>
                </c:pt>
                <c:pt idx="35">
                  <c:v>43712</c:v>
                </c:pt>
                <c:pt idx="36">
                  <c:v>43718</c:v>
                </c:pt>
                <c:pt idx="37">
                  <c:v>43726</c:v>
                </c:pt>
                <c:pt idx="38">
                  <c:v>43733</c:v>
                </c:pt>
                <c:pt idx="39">
                  <c:v>43740</c:v>
                </c:pt>
                <c:pt idx="40">
                  <c:v>43747</c:v>
                </c:pt>
                <c:pt idx="41">
                  <c:v>43754</c:v>
                </c:pt>
                <c:pt idx="42">
                  <c:v>43761</c:v>
                </c:pt>
                <c:pt idx="43">
                  <c:v>43768</c:v>
                </c:pt>
                <c:pt idx="44">
                  <c:v>43775</c:v>
                </c:pt>
                <c:pt idx="45">
                  <c:v>43782</c:v>
                </c:pt>
                <c:pt idx="46">
                  <c:v>43789</c:v>
                </c:pt>
                <c:pt idx="47">
                  <c:v>43796</c:v>
                </c:pt>
                <c:pt idx="48">
                  <c:v>43803</c:v>
                </c:pt>
                <c:pt idx="49">
                  <c:v>43809</c:v>
                </c:pt>
                <c:pt idx="50">
                  <c:v>43817</c:v>
                </c:pt>
                <c:pt idx="51">
                  <c:v>43823</c:v>
                </c:pt>
                <c:pt idx="52">
                  <c:v>43831</c:v>
                </c:pt>
                <c:pt idx="53">
                  <c:v>43837</c:v>
                </c:pt>
                <c:pt idx="54">
                  <c:v>43844</c:v>
                </c:pt>
                <c:pt idx="55">
                  <c:v>43852</c:v>
                </c:pt>
                <c:pt idx="56">
                  <c:v>43859</c:v>
                </c:pt>
                <c:pt idx="57">
                  <c:v>43866</c:v>
                </c:pt>
                <c:pt idx="58">
                  <c:v>43873</c:v>
                </c:pt>
                <c:pt idx="59">
                  <c:v>43879</c:v>
                </c:pt>
                <c:pt idx="60">
                  <c:v>43887</c:v>
                </c:pt>
                <c:pt idx="61">
                  <c:v>43894</c:v>
                </c:pt>
                <c:pt idx="62">
                  <c:v>43901</c:v>
                </c:pt>
                <c:pt idx="63">
                  <c:v>43908</c:v>
                </c:pt>
                <c:pt idx="64">
                  <c:v>43915</c:v>
                </c:pt>
                <c:pt idx="65">
                  <c:v>43922</c:v>
                </c:pt>
                <c:pt idx="66">
                  <c:v>43927</c:v>
                </c:pt>
                <c:pt idx="67">
                  <c:v>43936</c:v>
                </c:pt>
                <c:pt idx="68">
                  <c:v>43943</c:v>
                </c:pt>
                <c:pt idx="69">
                  <c:v>43949</c:v>
                </c:pt>
                <c:pt idx="70">
                  <c:v>43955</c:v>
                </c:pt>
                <c:pt idx="71">
                  <c:v>43964</c:v>
                </c:pt>
                <c:pt idx="72">
                  <c:v>43971</c:v>
                </c:pt>
                <c:pt idx="73">
                  <c:v>43978</c:v>
                </c:pt>
                <c:pt idx="74">
                  <c:v>43984</c:v>
                </c:pt>
                <c:pt idx="75">
                  <c:v>43992</c:v>
                </c:pt>
                <c:pt idx="76">
                  <c:v>43999</c:v>
                </c:pt>
                <c:pt idx="77">
                  <c:v>44006</c:v>
                </c:pt>
                <c:pt idx="78">
                  <c:v>44013</c:v>
                </c:pt>
                <c:pt idx="79">
                  <c:v>44020</c:v>
                </c:pt>
                <c:pt idx="80">
                  <c:v>44027</c:v>
                </c:pt>
                <c:pt idx="81">
                  <c:v>44034</c:v>
                </c:pt>
                <c:pt idx="82">
                  <c:v>44041</c:v>
                </c:pt>
                <c:pt idx="83">
                  <c:v>44048</c:v>
                </c:pt>
                <c:pt idx="84">
                  <c:v>44055</c:v>
                </c:pt>
                <c:pt idx="85">
                  <c:v>44062</c:v>
                </c:pt>
                <c:pt idx="86">
                  <c:v>44069</c:v>
                </c:pt>
                <c:pt idx="87">
                  <c:v>44076</c:v>
                </c:pt>
                <c:pt idx="88">
                  <c:v>44083</c:v>
                </c:pt>
                <c:pt idx="89">
                  <c:v>44090</c:v>
                </c:pt>
                <c:pt idx="90">
                  <c:v>44097</c:v>
                </c:pt>
                <c:pt idx="91">
                  <c:v>44103</c:v>
                </c:pt>
                <c:pt idx="92">
                  <c:v>44111</c:v>
                </c:pt>
                <c:pt idx="93">
                  <c:v>44118</c:v>
                </c:pt>
                <c:pt idx="94">
                  <c:v>44125</c:v>
                </c:pt>
                <c:pt idx="95">
                  <c:v>44131</c:v>
                </c:pt>
                <c:pt idx="96">
                  <c:v>44139</c:v>
                </c:pt>
                <c:pt idx="97">
                  <c:v>44146</c:v>
                </c:pt>
                <c:pt idx="98">
                  <c:v>44153</c:v>
                </c:pt>
                <c:pt idx="99">
                  <c:v>44160</c:v>
                </c:pt>
                <c:pt idx="100">
                  <c:v>44167</c:v>
                </c:pt>
                <c:pt idx="101">
                  <c:v>44174</c:v>
                </c:pt>
                <c:pt idx="102">
                  <c:v>44181</c:v>
                </c:pt>
                <c:pt idx="103">
                  <c:v>44187</c:v>
                </c:pt>
                <c:pt idx="104">
                  <c:v>44195</c:v>
                </c:pt>
              </c:numCache>
            </c:numRef>
          </c:cat>
          <c:val>
            <c:numRef>
              <c:f>Tbills!$AS$4:$AS$108</c:f>
              <c:numCache>
                <c:formatCode>_(* #,##0.0_);_(* \(#,##0.0\);_(* "-"??_);_(@_)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1.6379999999999999</c:v>
                </c:pt>
                <c:pt idx="6">
                  <c:v>1.3857142857142857</c:v>
                </c:pt>
                <c:pt idx="7">
                  <c:v>1.2666666666666666</c:v>
                </c:pt>
                <c:pt idx="8">
                  <c:v>1.2549999999999999</c:v>
                </c:pt>
                <c:pt idx="9">
                  <c:v>1.2</c:v>
                </c:pt>
                <c:pt idx="10">
                  <c:v>1.3333333333333333</c:v>
                </c:pt>
                <c:pt idx="11">
                  <c:v>2.4500000000000002</c:v>
                </c:pt>
                <c:pt idx="12">
                  <c:v>2.2799999999999998</c:v>
                </c:pt>
                <c:pt idx="13">
                  <c:v>2.35</c:v>
                </c:pt>
                <c:pt idx="14">
                  <c:v>2.31</c:v>
                </c:pt>
                <c:pt idx="15">
                  <c:v>2.35</c:v>
                </c:pt>
                <c:pt idx="16">
                  <c:v>2.1</c:v>
                </c:pt>
                <c:pt idx="17">
                  <c:v>2.2166666666666668</c:v>
                </c:pt>
                <c:pt idx="18">
                  <c:v>2.4554999999999998</c:v>
                </c:pt>
                <c:pt idx="19">
                  <c:v>2.1</c:v>
                </c:pt>
                <c:pt idx="20">
                  <c:v>2.1408</c:v>
                </c:pt>
                <c:pt idx="21">
                  <c:v>2.1760000000000002</c:v>
                </c:pt>
                <c:pt idx="22">
                  <c:v>2.15</c:v>
                </c:pt>
                <c:pt idx="23">
                  <c:v>3.1833333333333331</c:v>
                </c:pt>
                <c:pt idx="24">
                  <c:v>2.8083333333333331</c:v>
                </c:pt>
                <c:pt idx="25">
                  <c:v>4.166666666666667</c:v>
                </c:pt>
                <c:pt idx="26">
                  <c:v>2.4916</c:v>
                </c:pt>
                <c:pt idx="27">
                  <c:v>5.95</c:v>
                </c:pt>
                <c:pt idx="28">
                  <c:v>4.6066666666666665</c:v>
                </c:pt>
                <c:pt idx="29">
                  <c:v>4.6016666666666666</c:v>
                </c:pt>
                <c:pt idx="30">
                  <c:v>1.984</c:v>
                </c:pt>
                <c:pt idx="31">
                  <c:v>2.68</c:v>
                </c:pt>
                <c:pt idx="32">
                  <c:v>1.65</c:v>
                </c:pt>
                <c:pt idx="33">
                  <c:v>2.0686666666666667</c:v>
                </c:pt>
                <c:pt idx="34">
                  <c:v>5.8019999999999996</c:v>
                </c:pt>
                <c:pt idx="35">
                  <c:v>3.2040000000000002</c:v>
                </c:pt>
                <c:pt idx="36">
                  <c:v>6.5049999999999999</c:v>
                </c:pt>
                <c:pt idx="37">
                  <c:v>3.05</c:v>
                </c:pt>
                <c:pt idx="38">
                  <c:v>2.8494000000000002</c:v>
                </c:pt>
                <c:pt idx="39">
                  <c:v>3.8</c:v>
                </c:pt>
                <c:pt idx="40">
                  <c:v>3.6666666666666665</c:v>
                </c:pt>
                <c:pt idx="41">
                  <c:v>1.8333333333333333</c:v>
                </c:pt>
                <c:pt idx="42">
                  <c:v>6.3010000000000002</c:v>
                </c:pt>
                <c:pt idx="43">
                  <c:v>3.9413333333333331</c:v>
                </c:pt>
                <c:pt idx="44">
                  <c:v>3.7069999999999999</c:v>
                </c:pt>
                <c:pt idx="45">
                  <c:v>2.3010000000000002</c:v>
                </c:pt>
                <c:pt idx="46">
                  <c:v>2.1755</c:v>
                </c:pt>
                <c:pt idx="47">
                  <c:v>5.7770000000000001</c:v>
                </c:pt>
                <c:pt idx="48">
                  <c:v>3.621</c:v>
                </c:pt>
                <c:pt idx="49">
                  <c:v>4.1980000000000004</c:v>
                </c:pt>
                <c:pt idx="50">
                  <c:v>1.3244</c:v>
                </c:pt>
                <c:pt idx="51">
                  <c:v>7.0720000000000001</c:v>
                </c:pt>
                <c:pt idx="52">
                  <c:v>2.6505000000000001</c:v>
                </c:pt>
                <c:pt idx="53">
                  <c:v>1.3334999999999999</c:v>
                </c:pt>
                <c:pt idx="54">
                  <c:v>1.2755000000000001</c:v>
                </c:pt>
                <c:pt idx="55">
                  <c:v>3.3946666666666667</c:v>
                </c:pt>
                <c:pt idx="56">
                  <c:v>4.4939999999999998</c:v>
                </c:pt>
                <c:pt idx="57">
                  <c:v>2.8085</c:v>
                </c:pt>
                <c:pt idx="58">
                  <c:v>3.1041333333333334</c:v>
                </c:pt>
                <c:pt idx="59">
                  <c:v>1.759625</c:v>
                </c:pt>
                <c:pt idx="60">
                  <c:v>2.6214285714285714</c:v>
                </c:pt>
                <c:pt idx="61">
                  <c:v>1.846111111111111</c:v>
                </c:pt>
                <c:pt idx="62">
                  <c:v>2.2638888888888888</c:v>
                </c:pt>
                <c:pt idx="63">
                  <c:v>2.4350000000000001</c:v>
                </c:pt>
                <c:pt idx="64">
                  <c:v>1.9470000000000001</c:v>
                </c:pt>
                <c:pt idx="65">
                  <c:v>2.1046666666666667</c:v>
                </c:pt>
                <c:pt idx="66">
                  <c:v>2.7482857142857142</c:v>
                </c:pt>
                <c:pt idx="67">
                  <c:v>1.3571428571428572</c:v>
                </c:pt>
                <c:pt idx="68">
                  <c:v>2.4858333333333333</c:v>
                </c:pt>
                <c:pt idx="69">
                  <c:v>2.9220000000000002</c:v>
                </c:pt>
                <c:pt idx="70">
                  <c:v>2.0656249999999998</c:v>
                </c:pt>
                <c:pt idx="71">
                  <c:v>2.9342857142857142</c:v>
                </c:pt>
                <c:pt idx="72">
                  <c:v>2.6622499999999998</c:v>
                </c:pt>
                <c:pt idx="73">
                  <c:v>3.0375000000000001</c:v>
                </c:pt>
                <c:pt idx="74">
                  <c:v>1.1214285714285714</c:v>
                </c:pt>
                <c:pt idx="75">
                  <c:v>1.3285714285714285</c:v>
                </c:pt>
                <c:pt idx="76">
                  <c:v>4.3131250000000003</c:v>
                </c:pt>
                <c:pt idx="77">
                  <c:v>3.9866666666666668</c:v>
                </c:pt>
                <c:pt idx="78">
                  <c:v>10.689</c:v>
                </c:pt>
                <c:pt idx="79">
                  <c:v>1.5562499999999999</c:v>
                </c:pt>
                <c:pt idx="80">
                  <c:v>3.99</c:v>
                </c:pt>
                <c:pt idx="81">
                  <c:v>2.9615217391304349</c:v>
                </c:pt>
                <c:pt idx="82">
                  <c:v>1.3638888888888889</c:v>
                </c:pt>
                <c:pt idx="83">
                  <c:v>3.1833333333333331</c:v>
                </c:pt>
                <c:pt idx="84">
                  <c:v>2.1841249999999999</c:v>
                </c:pt>
                <c:pt idx="85">
                  <c:v>2.8849999999999998</c:v>
                </c:pt>
                <c:pt idx="86">
                  <c:v>2.5257999999999998</c:v>
                </c:pt>
                <c:pt idx="87">
                  <c:v>1.3836666666666666</c:v>
                </c:pt>
                <c:pt idx="88">
                  <c:v>1.5551999999999999</c:v>
                </c:pt>
                <c:pt idx="89">
                  <c:v>1.925</c:v>
                </c:pt>
                <c:pt idx="90">
                  <c:v>1.3444444444444446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 formatCode="General">
                  <c:v>1.125</c:v>
                </c:pt>
                <c:pt idx="95" formatCode="General">
                  <c:v>1.0666666666666667</c:v>
                </c:pt>
                <c:pt idx="96" formatCode="General">
                  <c:v>1.1174999999999999</c:v>
                </c:pt>
                <c:pt idx="97" formatCode="General">
                  <c:v>1.6879999999999999</c:v>
                </c:pt>
                <c:pt idx="98" formatCode="General">
                  <c:v>1.04125</c:v>
                </c:pt>
                <c:pt idx="99" formatCode="General">
                  <c:v>2.6720000000000002</c:v>
                </c:pt>
                <c:pt idx="100" formatCode="General">
                  <c:v>2.0727272727272728</c:v>
                </c:pt>
                <c:pt idx="101" formatCode="General">
                  <c:v>1.4094117647058824</c:v>
                </c:pt>
                <c:pt idx="102" formatCode="General">
                  <c:v>1.2868333333333333</c:v>
                </c:pt>
                <c:pt idx="103" formatCode="General">
                  <c:v>1.1432222222222221</c:v>
                </c:pt>
                <c:pt idx="104" formatCode="General">
                  <c:v>1.0015000000000001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13-4B96-B9A8-CA28FE27BF3E}"/>
            </c:ext>
          </c:extLst>
        </c:ser>
        <c:ser>
          <c:idx val="1"/>
          <c:order val="1"/>
          <c:tx>
            <c:strRef>
              <c:f>Tbills!$AT$2:$AT$3</c:f>
              <c:strCache>
                <c:ptCount val="2"/>
                <c:pt idx="0">
                  <c:v> 182.0 </c:v>
                </c:pt>
                <c:pt idx="1">
                  <c:v> days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Tbills!$AR$4:$AR$108</c:f>
              <c:numCache>
                <c:formatCode>mm/dd/yy;@</c:formatCode>
                <c:ptCount val="105"/>
                <c:pt idx="0">
                  <c:v>43467</c:v>
                </c:pt>
                <c:pt idx="1">
                  <c:v>43474</c:v>
                </c:pt>
                <c:pt idx="2">
                  <c:v>43481</c:v>
                </c:pt>
                <c:pt idx="3">
                  <c:v>43488</c:v>
                </c:pt>
                <c:pt idx="4">
                  <c:v>43495</c:v>
                </c:pt>
                <c:pt idx="5">
                  <c:v>43502</c:v>
                </c:pt>
                <c:pt idx="6">
                  <c:v>43509</c:v>
                </c:pt>
                <c:pt idx="7">
                  <c:v>43516</c:v>
                </c:pt>
                <c:pt idx="8">
                  <c:v>43523</c:v>
                </c:pt>
                <c:pt idx="9">
                  <c:v>43530</c:v>
                </c:pt>
                <c:pt idx="10">
                  <c:v>43537</c:v>
                </c:pt>
                <c:pt idx="11">
                  <c:v>43543</c:v>
                </c:pt>
                <c:pt idx="12">
                  <c:v>43551</c:v>
                </c:pt>
                <c:pt idx="13">
                  <c:v>43558</c:v>
                </c:pt>
                <c:pt idx="14">
                  <c:v>43565</c:v>
                </c:pt>
                <c:pt idx="15">
                  <c:v>43571</c:v>
                </c:pt>
                <c:pt idx="16">
                  <c:v>43579</c:v>
                </c:pt>
                <c:pt idx="17">
                  <c:v>43585</c:v>
                </c:pt>
                <c:pt idx="18">
                  <c:v>43593</c:v>
                </c:pt>
                <c:pt idx="19">
                  <c:v>43600</c:v>
                </c:pt>
                <c:pt idx="20">
                  <c:v>43607</c:v>
                </c:pt>
                <c:pt idx="21">
                  <c:v>43614</c:v>
                </c:pt>
                <c:pt idx="22">
                  <c:v>43620</c:v>
                </c:pt>
                <c:pt idx="23">
                  <c:v>43628</c:v>
                </c:pt>
                <c:pt idx="24">
                  <c:v>43635</c:v>
                </c:pt>
                <c:pt idx="25">
                  <c:v>43642</c:v>
                </c:pt>
                <c:pt idx="26">
                  <c:v>43649</c:v>
                </c:pt>
                <c:pt idx="27">
                  <c:v>43656</c:v>
                </c:pt>
                <c:pt idx="28">
                  <c:v>43663</c:v>
                </c:pt>
                <c:pt idx="29">
                  <c:v>43670</c:v>
                </c:pt>
                <c:pt idx="30">
                  <c:v>43677</c:v>
                </c:pt>
                <c:pt idx="31">
                  <c:v>43684</c:v>
                </c:pt>
                <c:pt idx="32">
                  <c:v>43690</c:v>
                </c:pt>
                <c:pt idx="33">
                  <c:v>43698</c:v>
                </c:pt>
                <c:pt idx="34">
                  <c:v>43705</c:v>
                </c:pt>
                <c:pt idx="35">
                  <c:v>43712</c:v>
                </c:pt>
                <c:pt idx="36">
                  <c:v>43718</c:v>
                </c:pt>
                <c:pt idx="37">
                  <c:v>43726</c:v>
                </c:pt>
                <c:pt idx="38">
                  <c:v>43733</c:v>
                </c:pt>
                <c:pt idx="39">
                  <c:v>43740</c:v>
                </c:pt>
                <c:pt idx="40">
                  <c:v>43747</c:v>
                </c:pt>
                <c:pt idx="41">
                  <c:v>43754</c:v>
                </c:pt>
                <c:pt idx="42">
                  <c:v>43761</c:v>
                </c:pt>
                <c:pt idx="43">
                  <c:v>43768</c:v>
                </c:pt>
                <c:pt idx="44">
                  <c:v>43775</c:v>
                </c:pt>
                <c:pt idx="45">
                  <c:v>43782</c:v>
                </c:pt>
                <c:pt idx="46">
                  <c:v>43789</c:v>
                </c:pt>
                <c:pt idx="47">
                  <c:v>43796</c:v>
                </c:pt>
                <c:pt idx="48">
                  <c:v>43803</c:v>
                </c:pt>
                <c:pt idx="49">
                  <c:v>43809</c:v>
                </c:pt>
                <c:pt idx="50">
                  <c:v>43817</c:v>
                </c:pt>
                <c:pt idx="51">
                  <c:v>43823</c:v>
                </c:pt>
                <c:pt idx="52">
                  <c:v>43831</c:v>
                </c:pt>
                <c:pt idx="53">
                  <c:v>43837</c:v>
                </c:pt>
                <c:pt idx="54">
                  <c:v>43844</c:v>
                </c:pt>
                <c:pt idx="55">
                  <c:v>43852</c:v>
                </c:pt>
                <c:pt idx="56">
                  <c:v>43859</c:v>
                </c:pt>
                <c:pt idx="57">
                  <c:v>43866</c:v>
                </c:pt>
                <c:pt idx="58">
                  <c:v>43873</c:v>
                </c:pt>
                <c:pt idx="59">
                  <c:v>43879</c:v>
                </c:pt>
                <c:pt idx="60">
                  <c:v>43887</c:v>
                </c:pt>
                <c:pt idx="61">
                  <c:v>43894</c:v>
                </c:pt>
                <c:pt idx="62">
                  <c:v>43901</c:v>
                </c:pt>
                <c:pt idx="63">
                  <c:v>43908</c:v>
                </c:pt>
                <c:pt idx="64">
                  <c:v>43915</c:v>
                </c:pt>
                <c:pt idx="65">
                  <c:v>43922</c:v>
                </c:pt>
                <c:pt idx="66">
                  <c:v>43927</c:v>
                </c:pt>
                <c:pt idx="67">
                  <c:v>43936</c:v>
                </c:pt>
                <c:pt idx="68">
                  <c:v>43943</c:v>
                </c:pt>
                <c:pt idx="69">
                  <c:v>43949</c:v>
                </c:pt>
                <c:pt idx="70">
                  <c:v>43955</c:v>
                </c:pt>
                <c:pt idx="71">
                  <c:v>43964</c:v>
                </c:pt>
                <c:pt idx="72">
                  <c:v>43971</c:v>
                </c:pt>
                <c:pt idx="73">
                  <c:v>43978</c:v>
                </c:pt>
                <c:pt idx="74">
                  <c:v>43984</c:v>
                </c:pt>
                <c:pt idx="75">
                  <c:v>43992</c:v>
                </c:pt>
                <c:pt idx="76">
                  <c:v>43999</c:v>
                </c:pt>
                <c:pt idx="77">
                  <c:v>44006</c:v>
                </c:pt>
                <c:pt idx="78">
                  <c:v>44013</c:v>
                </c:pt>
                <c:pt idx="79">
                  <c:v>44020</c:v>
                </c:pt>
                <c:pt idx="80">
                  <c:v>44027</c:v>
                </c:pt>
                <c:pt idx="81">
                  <c:v>44034</c:v>
                </c:pt>
                <c:pt idx="82">
                  <c:v>44041</c:v>
                </c:pt>
                <c:pt idx="83">
                  <c:v>44048</c:v>
                </c:pt>
                <c:pt idx="84">
                  <c:v>44055</c:v>
                </c:pt>
                <c:pt idx="85">
                  <c:v>44062</c:v>
                </c:pt>
                <c:pt idx="86">
                  <c:v>44069</c:v>
                </c:pt>
                <c:pt idx="87">
                  <c:v>44076</c:v>
                </c:pt>
                <c:pt idx="88">
                  <c:v>44083</c:v>
                </c:pt>
                <c:pt idx="89">
                  <c:v>44090</c:v>
                </c:pt>
                <c:pt idx="90">
                  <c:v>44097</c:v>
                </c:pt>
                <c:pt idx="91">
                  <c:v>44103</c:v>
                </c:pt>
                <c:pt idx="92">
                  <c:v>44111</c:v>
                </c:pt>
                <c:pt idx="93">
                  <c:v>44118</c:v>
                </c:pt>
                <c:pt idx="94">
                  <c:v>44125</c:v>
                </c:pt>
                <c:pt idx="95">
                  <c:v>44131</c:v>
                </c:pt>
                <c:pt idx="96">
                  <c:v>44139</c:v>
                </c:pt>
                <c:pt idx="97">
                  <c:v>44146</c:v>
                </c:pt>
                <c:pt idx="98">
                  <c:v>44153</c:v>
                </c:pt>
                <c:pt idx="99">
                  <c:v>44160</c:v>
                </c:pt>
                <c:pt idx="100">
                  <c:v>44167</c:v>
                </c:pt>
                <c:pt idx="101">
                  <c:v>44174</c:v>
                </c:pt>
                <c:pt idx="102">
                  <c:v>44181</c:v>
                </c:pt>
                <c:pt idx="103">
                  <c:v>44187</c:v>
                </c:pt>
                <c:pt idx="104">
                  <c:v>44195</c:v>
                </c:pt>
              </c:numCache>
            </c:numRef>
          </c:cat>
          <c:val>
            <c:numRef>
              <c:f>Tbills!$AT$4:$AT$108</c:f>
              <c:numCache>
                <c:formatCode>_(* #,##0.0_);_(* \(#,##0.0\);_(* "-"??_);_(@_)</c:formatCode>
                <c:ptCount val="105"/>
                <c:pt idx="0">
                  <c:v>2.0714285714285716</c:v>
                </c:pt>
                <c:pt idx="1">
                  <c:v>1.7437499999999999</c:v>
                </c:pt>
                <c:pt idx="2">
                  <c:v>1.9212</c:v>
                </c:pt>
                <c:pt idx="3">
                  <c:v>1.5124</c:v>
                </c:pt>
                <c:pt idx="4">
                  <c:v>1.35</c:v>
                </c:pt>
                <c:pt idx="5">
                  <c:v>1.3234999999999999</c:v>
                </c:pt>
                <c:pt idx="6">
                  <c:v>1.3571428571428572</c:v>
                </c:pt>
                <c:pt idx="7">
                  <c:v>1.35</c:v>
                </c:pt>
                <c:pt idx="8">
                  <c:v>1.5449999999999999</c:v>
                </c:pt>
                <c:pt idx="9">
                  <c:v>1.55</c:v>
                </c:pt>
                <c:pt idx="10">
                  <c:v>1.34</c:v>
                </c:pt>
                <c:pt idx="11">
                  <c:v>2.5</c:v>
                </c:pt>
                <c:pt idx="12">
                  <c:v>2.2799999999999998</c:v>
                </c:pt>
                <c:pt idx="13">
                  <c:v>2.4630000000000001</c:v>
                </c:pt>
                <c:pt idx="14">
                  <c:v>2.621</c:v>
                </c:pt>
                <c:pt idx="15">
                  <c:v>2.3208000000000002</c:v>
                </c:pt>
                <c:pt idx="16">
                  <c:v>2.1</c:v>
                </c:pt>
                <c:pt idx="17">
                  <c:v>2.1321666666666665</c:v>
                </c:pt>
                <c:pt idx="18">
                  <c:v>3.3895</c:v>
                </c:pt>
                <c:pt idx="19">
                  <c:v>3.7037499999999999</c:v>
                </c:pt>
                <c:pt idx="20">
                  <c:v>3.4628888888888887</c:v>
                </c:pt>
                <c:pt idx="21">
                  <c:v>3.9557500000000001</c:v>
                </c:pt>
                <c:pt idx="22">
                  <c:v>3.4874999999999998</c:v>
                </c:pt>
                <c:pt idx="23">
                  <c:v>4.0532000000000004</c:v>
                </c:pt>
                <c:pt idx="24">
                  <c:v>4.6887499999999998</c:v>
                </c:pt>
                <c:pt idx="25">
                  <c:v>4.1639999999999997</c:v>
                </c:pt>
                <c:pt idx="26">
                  <c:v>3.7285714285714286</c:v>
                </c:pt>
                <c:pt idx="27">
                  <c:v>4.1950000000000003</c:v>
                </c:pt>
                <c:pt idx="28">
                  <c:v>4.3687500000000004</c:v>
                </c:pt>
                <c:pt idx="29">
                  <c:v>4.2380000000000004</c:v>
                </c:pt>
                <c:pt idx="30">
                  <c:v>1.8464</c:v>
                </c:pt>
                <c:pt idx="31">
                  <c:v>2.7246666666666668</c:v>
                </c:pt>
                <c:pt idx="32">
                  <c:v>1.31</c:v>
                </c:pt>
                <c:pt idx="33">
                  <c:v>1.8</c:v>
                </c:pt>
                <c:pt idx="34">
                  <c:v>4.0860000000000003</c:v>
                </c:pt>
                <c:pt idx="35">
                  <c:v>2.2040000000000002</c:v>
                </c:pt>
                <c:pt idx="36">
                  <c:v>4.6520000000000001</c:v>
                </c:pt>
                <c:pt idx="37">
                  <c:v>5.1040000000000001</c:v>
                </c:pt>
                <c:pt idx="38">
                  <c:v>3.0666666666666669</c:v>
                </c:pt>
                <c:pt idx="39">
                  <c:v>5.1040000000000001</c:v>
                </c:pt>
                <c:pt idx="40">
                  <c:v>2.0065</c:v>
                </c:pt>
                <c:pt idx="41">
                  <c:v>2.3166153846153845</c:v>
                </c:pt>
                <c:pt idx="42">
                  <c:v>2.5518333333333332</c:v>
                </c:pt>
                <c:pt idx="43">
                  <c:v>3.5110000000000001</c:v>
                </c:pt>
                <c:pt idx="44">
                  <c:v>1.901</c:v>
                </c:pt>
                <c:pt idx="45">
                  <c:v>1.113</c:v>
                </c:pt>
                <c:pt idx="46">
                  <c:v>1.7756000000000001</c:v>
                </c:pt>
                <c:pt idx="47">
                  <c:v>1.6503333333333334</c:v>
                </c:pt>
                <c:pt idx="48">
                  <c:v>1.9232</c:v>
                </c:pt>
                <c:pt idx="49">
                  <c:v>1.9448333333333334</c:v>
                </c:pt>
                <c:pt idx="50">
                  <c:v>1.4126000000000001</c:v>
                </c:pt>
                <c:pt idx="51">
                  <c:v>3.9523999999999999</c:v>
                </c:pt>
                <c:pt idx="52">
                  <c:v>1.9758888888888888</c:v>
                </c:pt>
                <c:pt idx="53">
                  <c:v>1.4414285714285715</c:v>
                </c:pt>
                <c:pt idx="54">
                  <c:v>2.3976000000000002</c:v>
                </c:pt>
                <c:pt idx="55">
                  <c:v>3.0448</c:v>
                </c:pt>
                <c:pt idx="56">
                  <c:v>2.9268749999999999</c:v>
                </c:pt>
                <c:pt idx="57">
                  <c:v>4.4812500000000002</c:v>
                </c:pt>
                <c:pt idx="58">
                  <c:v>2.2751428571428574</c:v>
                </c:pt>
                <c:pt idx="59">
                  <c:v>2.5735999999999999</c:v>
                </c:pt>
                <c:pt idx="60">
                  <c:v>2.1648000000000001</c:v>
                </c:pt>
                <c:pt idx="61">
                  <c:v>3.7480000000000002</c:v>
                </c:pt>
                <c:pt idx="62">
                  <c:v>2.863142857142857</c:v>
                </c:pt>
                <c:pt idx="63">
                  <c:v>3.2785714285714285</c:v>
                </c:pt>
                <c:pt idx="64">
                  <c:v>2.1375000000000002</c:v>
                </c:pt>
                <c:pt idx="65">
                  <c:v>2.1</c:v>
                </c:pt>
                <c:pt idx="66">
                  <c:v>1.7777777777777777</c:v>
                </c:pt>
                <c:pt idx="67">
                  <c:v>1.2865</c:v>
                </c:pt>
                <c:pt idx="68">
                  <c:v>2.3515000000000001</c:v>
                </c:pt>
                <c:pt idx="69">
                  <c:v>1.8484</c:v>
                </c:pt>
                <c:pt idx="70">
                  <c:v>1.7166666666666666</c:v>
                </c:pt>
                <c:pt idx="71">
                  <c:v>1.3611111111111112</c:v>
                </c:pt>
                <c:pt idx="72">
                  <c:v>2.6583333333333332</c:v>
                </c:pt>
                <c:pt idx="73">
                  <c:v>3.2833333333333332</c:v>
                </c:pt>
                <c:pt idx="74">
                  <c:v>3.2092000000000001</c:v>
                </c:pt>
                <c:pt idx="75">
                  <c:v>3.2875000000000001</c:v>
                </c:pt>
                <c:pt idx="76">
                  <c:v>11.54</c:v>
                </c:pt>
                <c:pt idx="77">
                  <c:v>5.7857142857142856</c:v>
                </c:pt>
                <c:pt idx="78">
                  <c:v>3.6218888888888889</c:v>
                </c:pt>
                <c:pt idx="79">
                  <c:v>2.5916666666666668</c:v>
                </c:pt>
                <c:pt idx="80">
                  <c:v>5.7842000000000002</c:v>
                </c:pt>
                <c:pt idx="81">
                  <c:v>3.0206666666666666</c:v>
                </c:pt>
                <c:pt idx="82">
                  <c:v>1.1131666666666666</c:v>
                </c:pt>
                <c:pt idx="83">
                  <c:v>1.5139130434782608</c:v>
                </c:pt>
                <c:pt idx="84">
                  <c:v>2.2003200000000001</c:v>
                </c:pt>
                <c:pt idx="85">
                  <c:v>4.100133333333333</c:v>
                </c:pt>
                <c:pt idx="86">
                  <c:v>2.6650666666666667</c:v>
                </c:pt>
                <c:pt idx="87">
                  <c:v>1.8149285714285714</c:v>
                </c:pt>
                <c:pt idx="88">
                  <c:v>2.1524166666666669</c:v>
                </c:pt>
                <c:pt idx="89">
                  <c:v>1.7433571428571428</c:v>
                </c:pt>
                <c:pt idx="90">
                  <c:v>1.4</c:v>
                </c:pt>
                <c:pt idx="91">
                  <c:v>1.0191874999999999</c:v>
                </c:pt>
                <c:pt idx="92">
                  <c:v>1.1000000000000001</c:v>
                </c:pt>
                <c:pt idx="93">
                  <c:v>1.6543333333333334</c:v>
                </c:pt>
                <c:pt idx="94" formatCode="General">
                  <c:v>1.3201666666666667</c:v>
                </c:pt>
                <c:pt idx="95" formatCode="General">
                  <c:v>1.2567999999999999</c:v>
                </c:pt>
                <c:pt idx="96" formatCode="General">
                  <c:v>1.1583749999999999</c:v>
                </c:pt>
                <c:pt idx="97" formatCode="General">
                  <c:v>1.0822727272727273</c:v>
                </c:pt>
                <c:pt idx="98" formatCode="General">
                  <c:v>1.1076923076923078</c:v>
                </c:pt>
                <c:pt idx="99" formatCode="General">
                  <c:v>1.8120300751879699</c:v>
                </c:pt>
                <c:pt idx="100" formatCode="General">
                  <c:v>1.7898400000000001</c:v>
                </c:pt>
                <c:pt idx="101" formatCode="General">
                  <c:v>1.0691999999999999</c:v>
                </c:pt>
                <c:pt idx="102" formatCode="General">
                  <c:v>1.173888888888889</c:v>
                </c:pt>
                <c:pt idx="103" formatCode="General">
                  <c:v>1.8833333333333333</c:v>
                </c:pt>
                <c:pt idx="104" formatCode="General">
                  <c:v>1.5529999999999999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13-4B96-B9A8-CA28FE27BF3E}"/>
            </c:ext>
          </c:extLst>
        </c:ser>
        <c:ser>
          <c:idx val="2"/>
          <c:order val="2"/>
          <c:tx>
            <c:strRef>
              <c:f>Tbills!$AU$2:$AU$3</c:f>
              <c:strCache>
                <c:ptCount val="2"/>
                <c:pt idx="0">
                  <c:v> 364.0 </c:v>
                </c:pt>
                <c:pt idx="1">
                  <c:v> days 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Tbills!$AR$4:$AR$108</c:f>
              <c:numCache>
                <c:formatCode>mm/dd/yy;@</c:formatCode>
                <c:ptCount val="105"/>
                <c:pt idx="0">
                  <c:v>43467</c:v>
                </c:pt>
                <c:pt idx="1">
                  <c:v>43474</c:v>
                </c:pt>
                <c:pt idx="2">
                  <c:v>43481</c:v>
                </c:pt>
                <c:pt idx="3">
                  <c:v>43488</c:v>
                </c:pt>
                <c:pt idx="4">
                  <c:v>43495</c:v>
                </c:pt>
                <c:pt idx="5">
                  <c:v>43502</c:v>
                </c:pt>
                <c:pt idx="6">
                  <c:v>43509</c:v>
                </c:pt>
                <c:pt idx="7">
                  <c:v>43516</c:v>
                </c:pt>
                <c:pt idx="8">
                  <c:v>43523</c:v>
                </c:pt>
                <c:pt idx="9">
                  <c:v>43530</c:v>
                </c:pt>
                <c:pt idx="10">
                  <c:v>43537</c:v>
                </c:pt>
                <c:pt idx="11">
                  <c:v>43543</c:v>
                </c:pt>
                <c:pt idx="12">
                  <c:v>43551</c:v>
                </c:pt>
                <c:pt idx="13">
                  <c:v>43558</c:v>
                </c:pt>
                <c:pt idx="14">
                  <c:v>43565</c:v>
                </c:pt>
                <c:pt idx="15">
                  <c:v>43571</c:v>
                </c:pt>
                <c:pt idx="16">
                  <c:v>43579</c:v>
                </c:pt>
                <c:pt idx="17">
                  <c:v>43585</c:v>
                </c:pt>
                <c:pt idx="18">
                  <c:v>43593</c:v>
                </c:pt>
                <c:pt idx="19">
                  <c:v>43600</c:v>
                </c:pt>
                <c:pt idx="20">
                  <c:v>43607</c:v>
                </c:pt>
                <c:pt idx="21">
                  <c:v>43614</c:v>
                </c:pt>
                <c:pt idx="22">
                  <c:v>43620</c:v>
                </c:pt>
                <c:pt idx="23">
                  <c:v>43628</c:v>
                </c:pt>
                <c:pt idx="24">
                  <c:v>43635</c:v>
                </c:pt>
                <c:pt idx="25">
                  <c:v>43642</c:v>
                </c:pt>
                <c:pt idx="26">
                  <c:v>43649</c:v>
                </c:pt>
                <c:pt idx="27">
                  <c:v>43656</c:v>
                </c:pt>
                <c:pt idx="28">
                  <c:v>43663</c:v>
                </c:pt>
                <c:pt idx="29">
                  <c:v>43670</c:v>
                </c:pt>
                <c:pt idx="30">
                  <c:v>43677</c:v>
                </c:pt>
                <c:pt idx="31">
                  <c:v>43684</c:v>
                </c:pt>
                <c:pt idx="32">
                  <c:v>43690</c:v>
                </c:pt>
                <c:pt idx="33">
                  <c:v>43698</c:v>
                </c:pt>
                <c:pt idx="34">
                  <c:v>43705</c:v>
                </c:pt>
                <c:pt idx="35">
                  <c:v>43712</c:v>
                </c:pt>
                <c:pt idx="36">
                  <c:v>43718</c:v>
                </c:pt>
                <c:pt idx="37">
                  <c:v>43726</c:v>
                </c:pt>
                <c:pt idx="38">
                  <c:v>43733</c:v>
                </c:pt>
                <c:pt idx="39">
                  <c:v>43740</c:v>
                </c:pt>
                <c:pt idx="40">
                  <c:v>43747</c:v>
                </c:pt>
                <c:pt idx="41">
                  <c:v>43754</c:v>
                </c:pt>
                <c:pt idx="42">
                  <c:v>43761</c:v>
                </c:pt>
                <c:pt idx="43">
                  <c:v>43768</c:v>
                </c:pt>
                <c:pt idx="44">
                  <c:v>43775</c:v>
                </c:pt>
                <c:pt idx="45">
                  <c:v>43782</c:v>
                </c:pt>
                <c:pt idx="46">
                  <c:v>43789</c:v>
                </c:pt>
                <c:pt idx="47">
                  <c:v>43796</c:v>
                </c:pt>
                <c:pt idx="48">
                  <c:v>43803</c:v>
                </c:pt>
                <c:pt idx="49">
                  <c:v>43809</c:v>
                </c:pt>
                <c:pt idx="50">
                  <c:v>43817</c:v>
                </c:pt>
                <c:pt idx="51">
                  <c:v>43823</c:v>
                </c:pt>
                <c:pt idx="52">
                  <c:v>43831</c:v>
                </c:pt>
                <c:pt idx="53">
                  <c:v>43837</c:v>
                </c:pt>
                <c:pt idx="54">
                  <c:v>43844</c:v>
                </c:pt>
                <c:pt idx="55">
                  <c:v>43852</c:v>
                </c:pt>
                <c:pt idx="56">
                  <c:v>43859</c:v>
                </c:pt>
                <c:pt idx="57">
                  <c:v>43866</c:v>
                </c:pt>
                <c:pt idx="58">
                  <c:v>43873</c:v>
                </c:pt>
                <c:pt idx="59">
                  <c:v>43879</c:v>
                </c:pt>
                <c:pt idx="60">
                  <c:v>43887</c:v>
                </c:pt>
                <c:pt idx="61">
                  <c:v>43894</c:v>
                </c:pt>
                <c:pt idx="62">
                  <c:v>43901</c:v>
                </c:pt>
                <c:pt idx="63">
                  <c:v>43908</c:v>
                </c:pt>
                <c:pt idx="64">
                  <c:v>43915</c:v>
                </c:pt>
                <c:pt idx="65">
                  <c:v>43922</c:v>
                </c:pt>
                <c:pt idx="66">
                  <c:v>43927</c:v>
                </c:pt>
                <c:pt idx="67">
                  <c:v>43936</c:v>
                </c:pt>
                <c:pt idx="68">
                  <c:v>43943</c:v>
                </c:pt>
                <c:pt idx="69">
                  <c:v>43949</c:v>
                </c:pt>
                <c:pt idx="70">
                  <c:v>43955</c:v>
                </c:pt>
                <c:pt idx="71">
                  <c:v>43964</c:v>
                </c:pt>
                <c:pt idx="72">
                  <c:v>43971</c:v>
                </c:pt>
                <c:pt idx="73">
                  <c:v>43978</c:v>
                </c:pt>
                <c:pt idx="74">
                  <c:v>43984</c:v>
                </c:pt>
                <c:pt idx="75">
                  <c:v>43992</c:v>
                </c:pt>
                <c:pt idx="76">
                  <c:v>43999</c:v>
                </c:pt>
                <c:pt idx="77">
                  <c:v>44006</c:v>
                </c:pt>
                <c:pt idx="78">
                  <c:v>44013</c:v>
                </c:pt>
                <c:pt idx="79">
                  <c:v>44020</c:v>
                </c:pt>
                <c:pt idx="80">
                  <c:v>44027</c:v>
                </c:pt>
                <c:pt idx="81">
                  <c:v>44034</c:v>
                </c:pt>
                <c:pt idx="82">
                  <c:v>44041</c:v>
                </c:pt>
                <c:pt idx="83">
                  <c:v>44048</c:v>
                </c:pt>
                <c:pt idx="84">
                  <c:v>44055</c:v>
                </c:pt>
                <c:pt idx="85">
                  <c:v>44062</c:v>
                </c:pt>
                <c:pt idx="86">
                  <c:v>44069</c:v>
                </c:pt>
                <c:pt idx="87">
                  <c:v>44076</c:v>
                </c:pt>
                <c:pt idx="88">
                  <c:v>44083</c:v>
                </c:pt>
                <c:pt idx="89">
                  <c:v>44090</c:v>
                </c:pt>
                <c:pt idx="90">
                  <c:v>44097</c:v>
                </c:pt>
                <c:pt idx="91">
                  <c:v>44103</c:v>
                </c:pt>
                <c:pt idx="92">
                  <c:v>44111</c:v>
                </c:pt>
                <c:pt idx="93">
                  <c:v>44118</c:v>
                </c:pt>
                <c:pt idx="94">
                  <c:v>44125</c:v>
                </c:pt>
                <c:pt idx="95">
                  <c:v>44131</c:v>
                </c:pt>
                <c:pt idx="96">
                  <c:v>44139</c:v>
                </c:pt>
                <c:pt idx="97">
                  <c:v>44146</c:v>
                </c:pt>
                <c:pt idx="98">
                  <c:v>44153</c:v>
                </c:pt>
                <c:pt idx="99">
                  <c:v>44160</c:v>
                </c:pt>
                <c:pt idx="100">
                  <c:v>44167</c:v>
                </c:pt>
                <c:pt idx="101">
                  <c:v>44174</c:v>
                </c:pt>
                <c:pt idx="102">
                  <c:v>44181</c:v>
                </c:pt>
                <c:pt idx="103">
                  <c:v>44187</c:v>
                </c:pt>
                <c:pt idx="104">
                  <c:v>44195</c:v>
                </c:pt>
              </c:numCache>
            </c:numRef>
          </c:cat>
          <c:val>
            <c:numRef>
              <c:f>Tbills!$AU$4:$AU$108</c:f>
              <c:numCache>
                <c:formatCode>_(* #,##0.0_);_(* \(#,##0.0\);_(* "-"??_);_(@_)</c:formatCode>
                <c:ptCount val="105"/>
                <c:pt idx="0">
                  <c:v>6</c:v>
                </c:pt>
                <c:pt idx="1">
                  <c:v>3.4906666666666668</c:v>
                </c:pt>
                <c:pt idx="2">
                  <c:v>3.1586875000000001</c:v>
                </c:pt>
                <c:pt idx="3">
                  <c:v>2.7394594594594595</c:v>
                </c:pt>
                <c:pt idx="4">
                  <c:v>3.2771875000000001</c:v>
                </c:pt>
                <c:pt idx="5">
                  <c:v>2.9032499999999999</c:v>
                </c:pt>
                <c:pt idx="6">
                  <c:v>3.1197857142857144</c:v>
                </c:pt>
                <c:pt idx="7">
                  <c:v>4.2381904761904758</c:v>
                </c:pt>
                <c:pt idx="8">
                  <c:v>3.3563999999999998</c:v>
                </c:pt>
                <c:pt idx="9">
                  <c:v>4.3041428571428568</c:v>
                </c:pt>
                <c:pt idx="10">
                  <c:v>3.20825</c:v>
                </c:pt>
                <c:pt idx="11">
                  <c:v>2.84185</c:v>
                </c:pt>
                <c:pt idx="12">
                  <c:v>3.7343500000000001</c:v>
                </c:pt>
                <c:pt idx="13">
                  <c:v>4.3527500000000003</c:v>
                </c:pt>
                <c:pt idx="14">
                  <c:v>3.5848</c:v>
                </c:pt>
                <c:pt idx="15">
                  <c:v>3.6635333333333335</c:v>
                </c:pt>
                <c:pt idx="16">
                  <c:v>2.8301249999999998</c:v>
                </c:pt>
                <c:pt idx="17">
                  <c:v>3.7739444444444445</c:v>
                </c:pt>
                <c:pt idx="18">
                  <c:v>6.1223571428571431</c:v>
                </c:pt>
                <c:pt idx="19">
                  <c:v>4.4853846153846151</c:v>
                </c:pt>
                <c:pt idx="20">
                  <c:v>4.6270769230769231</c:v>
                </c:pt>
                <c:pt idx="21">
                  <c:v>2.0681428571428571</c:v>
                </c:pt>
                <c:pt idx="22">
                  <c:v>2.1983571428571427</c:v>
                </c:pt>
                <c:pt idx="23">
                  <c:v>2.081818181818182</c:v>
                </c:pt>
                <c:pt idx="24">
                  <c:v>2.8516666666666666</c:v>
                </c:pt>
                <c:pt idx="25">
                  <c:v>5.553529411764706</c:v>
                </c:pt>
                <c:pt idx="26">
                  <c:v>2.5683333333333334</c:v>
                </c:pt>
                <c:pt idx="27">
                  <c:v>3.0379310344827588</c:v>
                </c:pt>
                <c:pt idx="28">
                  <c:v>2.478787878787879</c:v>
                </c:pt>
                <c:pt idx="29">
                  <c:v>2.6321111111111111</c:v>
                </c:pt>
                <c:pt idx="30">
                  <c:v>3.2858461538461539</c:v>
                </c:pt>
                <c:pt idx="31">
                  <c:v>2.0213793103448277</c:v>
                </c:pt>
                <c:pt idx="32">
                  <c:v>1.4446874999999999</c:v>
                </c:pt>
                <c:pt idx="33">
                  <c:v>1.89</c:v>
                </c:pt>
                <c:pt idx="34">
                  <c:v>2.5809523809523811</c:v>
                </c:pt>
                <c:pt idx="35">
                  <c:v>2.0538461538461537</c:v>
                </c:pt>
                <c:pt idx="36">
                  <c:v>1.75</c:v>
                </c:pt>
                <c:pt idx="37">
                  <c:v>3.1741818181818182</c:v>
                </c:pt>
                <c:pt idx="38">
                  <c:v>2.1835</c:v>
                </c:pt>
                <c:pt idx="39">
                  <c:v>2.8604705882352941</c:v>
                </c:pt>
                <c:pt idx="40">
                  <c:v>2.3679166666666664</c:v>
                </c:pt>
                <c:pt idx="41">
                  <c:v>2.9081600000000001</c:v>
                </c:pt>
                <c:pt idx="42">
                  <c:v>1.8133333333333332</c:v>
                </c:pt>
                <c:pt idx="43">
                  <c:v>1.5295652173913044</c:v>
                </c:pt>
                <c:pt idx="44">
                  <c:v>1.45</c:v>
                </c:pt>
                <c:pt idx="45">
                  <c:v>1.7424999999999999</c:v>
                </c:pt>
                <c:pt idx="46">
                  <c:v>6.0555000000000003</c:v>
                </c:pt>
                <c:pt idx="47">
                  <c:v>2.2853888888888889</c:v>
                </c:pt>
                <c:pt idx="48">
                  <c:v>2.4710000000000001</c:v>
                </c:pt>
                <c:pt idx="49">
                  <c:v>1.7471428571428571</c:v>
                </c:pt>
                <c:pt idx="50">
                  <c:v>1.8712</c:v>
                </c:pt>
                <c:pt idx="51">
                  <c:v>2.1856</c:v>
                </c:pt>
                <c:pt idx="52">
                  <c:v>2.7521428571428572</c:v>
                </c:pt>
                <c:pt idx="53">
                  <c:v>2.1921875000000002</c:v>
                </c:pt>
                <c:pt idx="54">
                  <c:v>2.4166249999999998</c:v>
                </c:pt>
                <c:pt idx="55">
                  <c:v>2.0978787878787877</c:v>
                </c:pt>
                <c:pt idx="56">
                  <c:v>3.2853142857142856</c:v>
                </c:pt>
                <c:pt idx="57">
                  <c:v>2.4735555555555555</c:v>
                </c:pt>
                <c:pt idx="58">
                  <c:v>2.4569333333333332</c:v>
                </c:pt>
                <c:pt idx="59">
                  <c:v>3.1174166666666667</c:v>
                </c:pt>
                <c:pt idx="60">
                  <c:v>5.2453599999999998</c:v>
                </c:pt>
                <c:pt idx="61">
                  <c:v>4.0118666666666662</c:v>
                </c:pt>
                <c:pt idx="62">
                  <c:v>2.7673125000000001</c:v>
                </c:pt>
                <c:pt idx="63">
                  <c:v>3.3229166666666665</c:v>
                </c:pt>
                <c:pt idx="64">
                  <c:v>2.665</c:v>
                </c:pt>
                <c:pt idx="65">
                  <c:v>1.5214285714285714</c:v>
                </c:pt>
                <c:pt idx="66">
                  <c:v>1.3178571428571428</c:v>
                </c:pt>
                <c:pt idx="67">
                  <c:v>1.3038461538461539</c:v>
                </c:pt>
                <c:pt idx="68">
                  <c:v>1.2809444444444444</c:v>
                </c:pt>
                <c:pt idx="69">
                  <c:v>1.3833333333333333</c:v>
                </c:pt>
                <c:pt idx="70">
                  <c:v>1.119375</c:v>
                </c:pt>
                <c:pt idx="71">
                  <c:v>1.4728571428571429</c:v>
                </c:pt>
                <c:pt idx="72">
                  <c:v>1.8816875</c:v>
                </c:pt>
                <c:pt idx="73">
                  <c:v>1.4176249999999999</c:v>
                </c:pt>
                <c:pt idx="74">
                  <c:v>2.5579999999999998</c:v>
                </c:pt>
                <c:pt idx="75">
                  <c:v>1.3583333333333334</c:v>
                </c:pt>
                <c:pt idx="76">
                  <c:v>5.3898333333333337</c:v>
                </c:pt>
                <c:pt idx="77">
                  <c:v>4.8769375000000004</c:v>
                </c:pt>
                <c:pt idx="78">
                  <c:v>2.3023888888888888</c:v>
                </c:pt>
                <c:pt idx="79">
                  <c:v>2.1216216216216215</c:v>
                </c:pt>
                <c:pt idx="80">
                  <c:v>3.5466666666666669</c:v>
                </c:pt>
                <c:pt idx="81">
                  <c:v>1.3271020408163265</c:v>
                </c:pt>
                <c:pt idx="82">
                  <c:v>1.1432244897959183</c:v>
                </c:pt>
                <c:pt idx="83">
                  <c:v>1.2777777777777777</c:v>
                </c:pt>
                <c:pt idx="84">
                  <c:v>1.2815624999999999</c:v>
                </c:pt>
                <c:pt idx="85">
                  <c:v>2.0674999999999999</c:v>
                </c:pt>
                <c:pt idx="86">
                  <c:v>1.2</c:v>
                </c:pt>
                <c:pt idx="87">
                  <c:v>1.55</c:v>
                </c:pt>
                <c:pt idx="88">
                  <c:v>1.4277777777777778</c:v>
                </c:pt>
                <c:pt idx="89">
                  <c:v>1.0455555555555556</c:v>
                </c:pt>
                <c:pt idx="90">
                  <c:v>1.2070000000000001</c:v>
                </c:pt>
                <c:pt idx="91">
                  <c:v>1.0305</c:v>
                </c:pt>
                <c:pt idx="92">
                  <c:v>1.2298285714285715</c:v>
                </c:pt>
                <c:pt idx="93">
                  <c:v>2.8393125000000001</c:v>
                </c:pt>
                <c:pt idx="94" formatCode="General">
                  <c:v>3.0347777777777778</c:v>
                </c:pt>
                <c:pt idx="95" formatCode="General">
                  <c:v>1.9534285714285715</c:v>
                </c:pt>
                <c:pt idx="96" formatCode="General">
                  <c:v>1.5042777777777778</c:v>
                </c:pt>
                <c:pt idx="97" formatCode="General">
                  <c:v>1.0135416666666666</c:v>
                </c:pt>
                <c:pt idx="98" formatCode="General">
                  <c:v>1.0565789473684211</c:v>
                </c:pt>
                <c:pt idx="99" formatCode="General">
                  <c:v>1.4761276595744681</c:v>
                </c:pt>
                <c:pt idx="100" formatCode="General">
                  <c:v>1.2951818181818182</c:v>
                </c:pt>
                <c:pt idx="101" formatCode="General">
                  <c:v>1.5103684210526316</c:v>
                </c:pt>
                <c:pt idx="102" formatCode="General">
                  <c:v>1.5363157894736843</c:v>
                </c:pt>
                <c:pt idx="103" formatCode="General">
                  <c:v>1.2254736842105263</c:v>
                </c:pt>
                <c:pt idx="104" formatCode="General">
                  <c:v>1.3803157894736842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13-4B96-B9A8-CA28FE27B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237072"/>
        <c:axId val="546245808"/>
      </c:lineChart>
      <c:dateAx>
        <c:axId val="546237072"/>
        <c:scaling>
          <c:orientation val="minMax"/>
        </c:scaling>
        <c:delete val="0"/>
        <c:axPos val="b"/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45808"/>
        <c:crosses val="autoZero"/>
        <c:auto val="0"/>
        <c:lblOffset val="100"/>
        <c:baseTimeUnit val="days"/>
      </c:dateAx>
      <c:valAx>
        <c:axId val="54624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3707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Weighted average yield</a:t>
            </a:r>
            <a:r>
              <a:rPr lang="en-US" baseline="0"/>
              <a:t> rate - Primary auctions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Tbills!$AZ$3</c:f>
              <c:strCache>
                <c:ptCount val="1"/>
                <c:pt idx="0">
                  <c:v>91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Tbills!$AY$4:$AY$15</c:f>
              <c:numCache>
                <c:formatCode>mm/dd/yy;@</c:formatCode>
                <c:ptCount val="12"/>
                <c:pt idx="0">
                  <c:v>43103</c:v>
                </c:pt>
                <c:pt idx="1">
                  <c:v>43110</c:v>
                </c:pt>
                <c:pt idx="2">
                  <c:v>43117</c:v>
                </c:pt>
                <c:pt idx="3">
                  <c:v>43124</c:v>
                </c:pt>
                <c:pt idx="4">
                  <c:v>43130</c:v>
                </c:pt>
                <c:pt idx="5">
                  <c:v>43138</c:v>
                </c:pt>
                <c:pt idx="6">
                  <c:v>43145</c:v>
                </c:pt>
                <c:pt idx="7">
                  <c:v>43152</c:v>
                </c:pt>
                <c:pt idx="8">
                  <c:v>43158</c:v>
                </c:pt>
                <c:pt idx="9">
                  <c:v>43166</c:v>
                </c:pt>
                <c:pt idx="10">
                  <c:v>43173</c:v>
                </c:pt>
                <c:pt idx="11">
                  <c:v>43180</c:v>
                </c:pt>
              </c:numCache>
            </c:numRef>
          </c:cat>
          <c:val>
            <c:numRef>
              <c:f>Tbills!$AZ$4:$AZ$15</c:f>
              <c:numCache>
                <c:formatCode>General</c:formatCode>
                <c:ptCount val="12"/>
                <c:pt idx="0">
                  <c:v>0</c:v>
                </c:pt>
                <c:pt idx="1">
                  <c:v>9.2799999999999994</c:v>
                </c:pt>
                <c:pt idx="2">
                  <c:v>9.48</c:v>
                </c:pt>
                <c:pt idx="3">
                  <c:v>0</c:v>
                </c:pt>
                <c:pt idx="4">
                  <c:v>0</c:v>
                </c:pt>
                <c:pt idx="5">
                  <c:v>9.65</c:v>
                </c:pt>
                <c:pt idx="6">
                  <c:v>10.07</c:v>
                </c:pt>
                <c:pt idx="7">
                  <c:v>10.01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A7-4E2F-B49A-38B34DBA44EA}"/>
            </c:ext>
          </c:extLst>
        </c:ser>
        <c:ser>
          <c:idx val="1"/>
          <c:order val="1"/>
          <c:tx>
            <c:strRef>
              <c:f>Tbills!$BA$3</c:f>
              <c:strCache>
                <c:ptCount val="1"/>
                <c:pt idx="0">
                  <c:v>182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Tbills!$AY$4:$AY$15</c:f>
              <c:numCache>
                <c:formatCode>mm/dd/yy;@</c:formatCode>
                <c:ptCount val="12"/>
                <c:pt idx="0">
                  <c:v>43103</c:v>
                </c:pt>
                <c:pt idx="1">
                  <c:v>43110</c:v>
                </c:pt>
                <c:pt idx="2">
                  <c:v>43117</c:v>
                </c:pt>
                <c:pt idx="3">
                  <c:v>43124</c:v>
                </c:pt>
                <c:pt idx="4">
                  <c:v>43130</c:v>
                </c:pt>
                <c:pt idx="5">
                  <c:v>43138</c:v>
                </c:pt>
                <c:pt idx="6">
                  <c:v>43145</c:v>
                </c:pt>
                <c:pt idx="7">
                  <c:v>43152</c:v>
                </c:pt>
                <c:pt idx="8">
                  <c:v>43158</c:v>
                </c:pt>
                <c:pt idx="9">
                  <c:v>43166</c:v>
                </c:pt>
                <c:pt idx="10">
                  <c:v>43173</c:v>
                </c:pt>
                <c:pt idx="11">
                  <c:v>43180</c:v>
                </c:pt>
              </c:numCache>
            </c:numRef>
          </c:cat>
          <c:val>
            <c:numRef>
              <c:f>Tbills!$BA$4:$BA$15</c:f>
              <c:numCache>
                <c:formatCode>General</c:formatCode>
                <c:ptCount val="12"/>
                <c:pt idx="0">
                  <c:v>8.85</c:v>
                </c:pt>
                <c:pt idx="1">
                  <c:v>0</c:v>
                </c:pt>
                <c:pt idx="2">
                  <c:v>8.75</c:v>
                </c:pt>
                <c:pt idx="3">
                  <c:v>8.74</c:v>
                </c:pt>
                <c:pt idx="4">
                  <c:v>0</c:v>
                </c:pt>
                <c:pt idx="5">
                  <c:v>8.6999999999999993</c:v>
                </c:pt>
                <c:pt idx="6">
                  <c:v>8.6199999999999992</c:v>
                </c:pt>
                <c:pt idx="7">
                  <c:v>8.6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A7-4E2F-B49A-38B34DBA44EA}"/>
            </c:ext>
          </c:extLst>
        </c:ser>
        <c:ser>
          <c:idx val="2"/>
          <c:order val="2"/>
          <c:tx>
            <c:strRef>
              <c:f>Tbills!$BB$3</c:f>
              <c:strCache>
                <c:ptCount val="1"/>
                <c:pt idx="0">
                  <c:v>364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Tbills!$AY$4:$AY$15</c:f>
              <c:numCache>
                <c:formatCode>mm/dd/yy;@</c:formatCode>
                <c:ptCount val="12"/>
                <c:pt idx="0">
                  <c:v>43103</c:v>
                </c:pt>
                <c:pt idx="1">
                  <c:v>43110</c:v>
                </c:pt>
                <c:pt idx="2">
                  <c:v>43117</c:v>
                </c:pt>
                <c:pt idx="3">
                  <c:v>43124</c:v>
                </c:pt>
                <c:pt idx="4">
                  <c:v>43130</c:v>
                </c:pt>
                <c:pt idx="5">
                  <c:v>43138</c:v>
                </c:pt>
                <c:pt idx="6">
                  <c:v>43145</c:v>
                </c:pt>
                <c:pt idx="7">
                  <c:v>43152</c:v>
                </c:pt>
                <c:pt idx="8">
                  <c:v>43158</c:v>
                </c:pt>
                <c:pt idx="9">
                  <c:v>43166</c:v>
                </c:pt>
                <c:pt idx="10">
                  <c:v>43173</c:v>
                </c:pt>
                <c:pt idx="11">
                  <c:v>43180</c:v>
                </c:pt>
              </c:numCache>
            </c:numRef>
          </c:cat>
          <c:val>
            <c:numRef>
              <c:f>Tbills!$BB$4:$BB$15</c:f>
              <c:numCache>
                <c:formatCode>General</c:formatCode>
                <c:ptCount val="12"/>
                <c:pt idx="0">
                  <c:v>8.9</c:v>
                </c:pt>
                <c:pt idx="1">
                  <c:v>8.8000000000000007</c:v>
                </c:pt>
                <c:pt idx="2">
                  <c:v>8.85</c:v>
                </c:pt>
                <c:pt idx="3">
                  <c:v>8.9</c:v>
                </c:pt>
                <c:pt idx="4">
                  <c:v>8.9</c:v>
                </c:pt>
                <c:pt idx="5">
                  <c:v>8.94</c:v>
                </c:pt>
                <c:pt idx="6">
                  <c:v>9.2799999999999994</c:v>
                </c:pt>
                <c:pt idx="7">
                  <c:v>9.4499999999999993</c:v>
                </c:pt>
                <c:pt idx="8">
                  <c:v>9.59</c:v>
                </c:pt>
                <c:pt idx="9">
                  <c:v>9.66</c:v>
                </c:pt>
                <c:pt idx="10">
                  <c:v>9.6999999999999993</c:v>
                </c:pt>
                <c:pt idx="11">
                  <c:v>9.66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A7-4E2F-B49A-38B34DBA4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272879"/>
        <c:axId val="1931290351"/>
      </c:lineChart>
      <c:dateAx>
        <c:axId val="1931272879"/>
        <c:scaling>
          <c:orientation val="minMax"/>
        </c:scaling>
        <c:delete val="0"/>
        <c:axPos val="b"/>
        <c:numFmt formatCode="mm/d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290351"/>
        <c:crosses val="autoZero"/>
        <c:auto val="0"/>
        <c:lblOffset val="100"/>
        <c:baseTimeUnit val="days"/>
        <c:majorUnit val="7"/>
        <c:majorTimeUnit val="days"/>
      </c:dateAx>
      <c:valAx>
        <c:axId val="1931290351"/>
        <c:scaling>
          <c:orientation val="minMax"/>
          <c:min val="4.4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272879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Bid-to-cover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Tbills!$AS$2:$AS$3</c:f>
              <c:strCache>
                <c:ptCount val="2"/>
                <c:pt idx="0">
                  <c:v> 91.0 </c:v>
                </c:pt>
                <c:pt idx="1">
                  <c:v> days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Tbills!$AR$4:$AR$27</c:f>
              <c:numCache>
                <c:formatCode>mm/dd/yy;@</c:formatCode>
                <c:ptCount val="24"/>
                <c:pt idx="0">
                  <c:v>43467</c:v>
                </c:pt>
                <c:pt idx="1">
                  <c:v>43474</c:v>
                </c:pt>
                <c:pt idx="2">
                  <c:v>43481</c:v>
                </c:pt>
                <c:pt idx="3">
                  <c:v>43488</c:v>
                </c:pt>
                <c:pt idx="4">
                  <c:v>43495</c:v>
                </c:pt>
                <c:pt idx="5">
                  <c:v>43502</c:v>
                </c:pt>
                <c:pt idx="6">
                  <c:v>43509</c:v>
                </c:pt>
                <c:pt idx="7">
                  <c:v>43516</c:v>
                </c:pt>
                <c:pt idx="8">
                  <c:v>43523</c:v>
                </c:pt>
                <c:pt idx="9">
                  <c:v>43530</c:v>
                </c:pt>
                <c:pt idx="10">
                  <c:v>43537</c:v>
                </c:pt>
                <c:pt idx="11">
                  <c:v>43543</c:v>
                </c:pt>
                <c:pt idx="12">
                  <c:v>43551</c:v>
                </c:pt>
                <c:pt idx="13">
                  <c:v>43558</c:v>
                </c:pt>
                <c:pt idx="14">
                  <c:v>43565</c:v>
                </c:pt>
                <c:pt idx="15">
                  <c:v>43571</c:v>
                </c:pt>
                <c:pt idx="16">
                  <c:v>43579</c:v>
                </c:pt>
                <c:pt idx="17">
                  <c:v>43585</c:v>
                </c:pt>
                <c:pt idx="18">
                  <c:v>43593</c:v>
                </c:pt>
                <c:pt idx="19">
                  <c:v>43600</c:v>
                </c:pt>
                <c:pt idx="20">
                  <c:v>43607</c:v>
                </c:pt>
                <c:pt idx="21">
                  <c:v>43614</c:v>
                </c:pt>
                <c:pt idx="22">
                  <c:v>43620</c:v>
                </c:pt>
                <c:pt idx="23">
                  <c:v>43628</c:v>
                </c:pt>
              </c:numCache>
            </c:numRef>
          </c:cat>
          <c:val>
            <c:numRef>
              <c:f>Tbills!$AS$4:$AS$27</c:f>
              <c:numCache>
                <c:formatCode>_(* #,##0.0_);_(* \(#,##0.0\);_(* "-"??_);_(@_)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1.6379999999999999</c:v>
                </c:pt>
                <c:pt idx="6">
                  <c:v>1.3857142857142857</c:v>
                </c:pt>
                <c:pt idx="7">
                  <c:v>1.2666666666666666</c:v>
                </c:pt>
                <c:pt idx="8">
                  <c:v>1.2549999999999999</c:v>
                </c:pt>
                <c:pt idx="9">
                  <c:v>1.2</c:v>
                </c:pt>
                <c:pt idx="10">
                  <c:v>1.3333333333333333</c:v>
                </c:pt>
                <c:pt idx="11">
                  <c:v>2.4500000000000002</c:v>
                </c:pt>
                <c:pt idx="12">
                  <c:v>2.2799999999999998</c:v>
                </c:pt>
                <c:pt idx="13">
                  <c:v>2.35</c:v>
                </c:pt>
                <c:pt idx="14">
                  <c:v>2.31</c:v>
                </c:pt>
                <c:pt idx="15">
                  <c:v>2.35</c:v>
                </c:pt>
                <c:pt idx="16">
                  <c:v>2.1</c:v>
                </c:pt>
                <c:pt idx="17">
                  <c:v>2.2166666666666668</c:v>
                </c:pt>
                <c:pt idx="18">
                  <c:v>2.4554999999999998</c:v>
                </c:pt>
                <c:pt idx="19">
                  <c:v>2.1</c:v>
                </c:pt>
                <c:pt idx="20">
                  <c:v>2.1408</c:v>
                </c:pt>
                <c:pt idx="21">
                  <c:v>2.1760000000000002</c:v>
                </c:pt>
                <c:pt idx="22">
                  <c:v>2.15</c:v>
                </c:pt>
                <c:pt idx="23">
                  <c:v>3.1833333333333331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87-4C08-93D5-D8ABAE704350}"/>
            </c:ext>
          </c:extLst>
        </c:ser>
        <c:ser>
          <c:idx val="1"/>
          <c:order val="1"/>
          <c:tx>
            <c:strRef>
              <c:f>Tbills!$AT$2:$AT$3</c:f>
              <c:strCache>
                <c:ptCount val="2"/>
                <c:pt idx="0">
                  <c:v> 182.0 </c:v>
                </c:pt>
                <c:pt idx="1">
                  <c:v> days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Tbills!$AR$4:$AR$27</c:f>
              <c:numCache>
                <c:formatCode>mm/dd/yy;@</c:formatCode>
                <c:ptCount val="24"/>
                <c:pt idx="0">
                  <c:v>43467</c:v>
                </c:pt>
                <c:pt idx="1">
                  <c:v>43474</c:v>
                </c:pt>
                <c:pt idx="2">
                  <c:v>43481</c:v>
                </c:pt>
                <c:pt idx="3">
                  <c:v>43488</c:v>
                </c:pt>
                <c:pt idx="4">
                  <c:v>43495</c:v>
                </c:pt>
                <c:pt idx="5">
                  <c:v>43502</c:v>
                </c:pt>
                <c:pt idx="6">
                  <c:v>43509</c:v>
                </c:pt>
                <c:pt idx="7">
                  <c:v>43516</c:v>
                </c:pt>
                <c:pt idx="8">
                  <c:v>43523</c:v>
                </c:pt>
                <c:pt idx="9">
                  <c:v>43530</c:v>
                </c:pt>
                <c:pt idx="10">
                  <c:v>43537</c:v>
                </c:pt>
                <c:pt idx="11">
                  <c:v>43543</c:v>
                </c:pt>
                <c:pt idx="12">
                  <c:v>43551</c:v>
                </c:pt>
                <c:pt idx="13">
                  <c:v>43558</c:v>
                </c:pt>
                <c:pt idx="14">
                  <c:v>43565</c:v>
                </c:pt>
                <c:pt idx="15">
                  <c:v>43571</c:v>
                </c:pt>
                <c:pt idx="16">
                  <c:v>43579</c:v>
                </c:pt>
                <c:pt idx="17">
                  <c:v>43585</c:v>
                </c:pt>
                <c:pt idx="18">
                  <c:v>43593</c:v>
                </c:pt>
                <c:pt idx="19">
                  <c:v>43600</c:v>
                </c:pt>
                <c:pt idx="20">
                  <c:v>43607</c:v>
                </c:pt>
                <c:pt idx="21">
                  <c:v>43614</c:v>
                </c:pt>
                <c:pt idx="22">
                  <c:v>43620</c:v>
                </c:pt>
                <c:pt idx="23">
                  <c:v>43628</c:v>
                </c:pt>
              </c:numCache>
            </c:numRef>
          </c:cat>
          <c:val>
            <c:numRef>
              <c:f>Tbills!$AT$4:$AT$27</c:f>
              <c:numCache>
                <c:formatCode>_(* #,##0.0_);_(* \(#,##0.0\);_(* "-"??_);_(@_)</c:formatCode>
                <c:ptCount val="24"/>
                <c:pt idx="0">
                  <c:v>2.0714285714285716</c:v>
                </c:pt>
                <c:pt idx="1">
                  <c:v>1.7437499999999999</c:v>
                </c:pt>
                <c:pt idx="2">
                  <c:v>1.9212</c:v>
                </c:pt>
                <c:pt idx="3">
                  <c:v>1.5124</c:v>
                </c:pt>
                <c:pt idx="4">
                  <c:v>1.35</c:v>
                </c:pt>
                <c:pt idx="5">
                  <c:v>1.3234999999999999</c:v>
                </c:pt>
                <c:pt idx="6">
                  <c:v>1.3571428571428572</c:v>
                </c:pt>
                <c:pt idx="7">
                  <c:v>1.35</c:v>
                </c:pt>
                <c:pt idx="8">
                  <c:v>1.5449999999999999</c:v>
                </c:pt>
                <c:pt idx="9">
                  <c:v>1.55</c:v>
                </c:pt>
                <c:pt idx="10">
                  <c:v>1.34</c:v>
                </c:pt>
                <c:pt idx="11">
                  <c:v>2.5</c:v>
                </c:pt>
                <c:pt idx="12">
                  <c:v>2.2799999999999998</c:v>
                </c:pt>
                <c:pt idx="13">
                  <c:v>2.4630000000000001</c:v>
                </c:pt>
                <c:pt idx="14">
                  <c:v>2.621</c:v>
                </c:pt>
                <c:pt idx="15">
                  <c:v>2.3208000000000002</c:v>
                </c:pt>
                <c:pt idx="16">
                  <c:v>2.1</c:v>
                </c:pt>
                <c:pt idx="17">
                  <c:v>2.1321666666666665</c:v>
                </c:pt>
                <c:pt idx="18">
                  <c:v>3.3895</c:v>
                </c:pt>
                <c:pt idx="19">
                  <c:v>3.7037499999999999</c:v>
                </c:pt>
                <c:pt idx="20">
                  <c:v>3.4628888888888887</c:v>
                </c:pt>
                <c:pt idx="21">
                  <c:v>3.9557500000000001</c:v>
                </c:pt>
                <c:pt idx="22">
                  <c:v>3.4874999999999998</c:v>
                </c:pt>
                <c:pt idx="23">
                  <c:v>4.0532000000000004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87-4C08-93D5-D8ABAE704350}"/>
            </c:ext>
          </c:extLst>
        </c:ser>
        <c:ser>
          <c:idx val="2"/>
          <c:order val="2"/>
          <c:tx>
            <c:strRef>
              <c:f>Tbills!$AU$2:$AU$3</c:f>
              <c:strCache>
                <c:ptCount val="2"/>
                <c:pt idx="0">
                  <c:v> 364.0 </c:v>
                </c:pt>
                <c:pt idx="1">
                  <c:v> days 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Tbills!$AR$4:$AR$27</c:f>
              <c:numCache>
                <c:formatCode>mm/dd/yy;@</c:formatCode>
                <c:ptCount val="24"/>
                <c:pt idx="0">
                  <c:v>43467</c:v>
                </c:pt>
                <c:pt idx="1">
                  <c:v>43474</c:v>
                </c:pt>
                <c:pt idx="2">
                  <c:v>43481</c:v>
                </c:pt>
                <c:pt idx="3">
                  <c:v>43488</c:v>
                </c:pt>
                <c:pt idx="4">
                  <c:v>43495</c:v>
                </c:pt>
                <c:pt idx="5">
                  <c:v>43502</c:v>
                </c:pt>
                <c:pt idx="6">
                  <c:v>43509</c:v>
                </c:pt>
                <c:pt idx="7">
                  <c:v>43516</c:v>
                </c:pt>
                <c:pt idx="8">
                  <c:v>43523</c:v>
                </c:pt>
                <c:pt idx="9">
                  <c:v>43530</c:v>
                </c:pt>
                <c:pt idx="10">
                  <c:v>43537</c:v>
                </c:pt>
                <c:pt idx="11">
                  <c:v>43543</c:v>
                </c:pt>
                <c:pt idx="12">
                  <c:v>43551</c:v>
                </c:pt>
                <c:pt idx="13">
                  <c:v>43558</c:v>
                </c:pt>
                <c:pt idx="14">
                  <c:v>43565</c:v>
                </c:pt>
                <c:pt idx="15">
                  <c:v>43571</c:v>
                </c:pt>
                <c:pt idx="16">
                  <c:v>43579</c:v>
                </c:pt>
                <c:pt idx="17">
                  <c:v>43585</c:v>
                </c:pt>
                <c:pt idx="18">
                  <c:v>43593</c:v>
                </c:pt>
                <c:pt idx="19">
                  <c:v>43600</c:v>
                </c:pt>
                <c:pt idx="20">
                  <c:v>43607</c:v>
                </c:pt>
                <c:pt idx="21">
                  <c:v>43614</c:v>
                </c:pt>
                <c:pt idx="22">
                  <c:v>43620</c:v>
                </c:pt>
                <c:pt idx="23">
                  <c:v>43628</c:v>
                </c:pt>
              </c:numCache>
            </c:numRef>
          </c:cat>
          <c:val>
            <c:numRef>
              <c:f>Tbills!$AU$4:$AU$27</c:f>
              <c:numCache>
                <c:formatCode>_(* #,##0.0_);_(* \(#,##0.0\);_(* "-"??_);_(@_)</c:formatCode>
                <c:ptCount val="24"/>
                <c:pt idx="0">
                  <c:v>6</c:v>
                </c:pt>
                <c:pt idx="1">
                  <c:v>3.4906666666666668</c:v>
                </c:pt>
                <c:pt idx="2">
                  <c:v>3.1586875000000001</c:v>
                </c:pt>
                <c:pt idx="3">
                  <c:v>2.7394594594594595</c:v>
                </c:pt>
                <c:pt idx="4">
                  <c:v>3.2771875000000001</c:v>
                </c:pt>
                <c:pt idx="5">
                  <c:v>2.9032499999999999</c:v>
                </c:pt>
                <c:pt idx="6">
                  <c:v>3.1197857142857144</c:v>
                </c:pt>
                <c:pt idx="7">
                  <c:v>4.2381904761904758</c:v>
                </c:pt>
                <c:pt idx="8">
                  <c:v>3.3563999999999998</c:v>
                </c:pt>
                <c:pt idx="9">
                  <c:v>4.3041428571428568</c:v>
                </c:pt>
                <c:pt idx="10">
                  <c:v>3.20825</c:v>
                </c:pt>
                <c:pt idx="11">
                  <c:v>2.84185</c:v>
                </c:pt>
                <c:pt idx="12">
                  <c:v>3.7343500000000001</c:v>
                </c:pt>
                <c:pt idx="13">
                  <c:v>4.3527500000000003</c:v>
                </c:pt>
                <c:pt idx="14">
                  <c:v>3.5848</c:v>
                </c:pt>
                <c:pt idx="15">
                  <c:v>3.6635333333333335</c:v>
                </c:pt>
                <c:pt idx="16">
                  <c:v>2.8301249999999998</c:v>
                </c:pt>
                <c:pt idx="17">
                  <c:v>3.7739444444444445</c:v>
                </c:pt>
                <c:pt idx="18">
                  <c:v>6.1223571428571431</c:v>
                </c:pt>
                <c:pt idx="19">
                  <c:v>4.4853846153846151</c:v>
                </c:pt>
                <c:pt idx="20">
                  <c:v>4.6270769230769231</c:v>
                </c:pt>
                <c:pt idx="21">
                  <c:v>2.0681428571428571</c:v>
                </c:pt>
                <c:pt idx="22">
                  <c:v>2.1983571428571427</c:v>
                </c:pt>
                <c:pt idx="23">
                  <c:v>2.081818181818182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87-4C08-93D5-D8ABAE704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7913935"/>
        <c:axId val="1957916431"/>
      </c:lineChart>
      <c:dateAx>
        <c:axId val="1957913935"/>
        <c:scaling>
          <c:orientation val="minMax"/>
        </c:scaling>
        <c:delete val="0"/>
        <c:axPos val="b"/>
        <c:numFmt formatCode="mm/d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916431"/>
        <c:crosses val="autoZero"/>
        <c:auto val="0"/>
        <c:lblOffset val="100"/>
        <c:baseTimeUnit val="days"/>
      </c:dateAx>
      <c:valAx>
        <c:axId val="195791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913935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448233</xdr:colOff>
      <xdr:row>308</xdr:row>
      <xdr:rowOff>125506</xdr:rowOff>
    </xdr:from>
    <xdr:to>
      <xdr:col>32</xdr:col>
      <xdr:colOff>582704</xdr:colOff>
      <xdr:row>333</xdr:row>
      <xdr:rowOff>125507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251011</xdr:colOff>
      <xdr:row>49</xdr:row>
      <xdr:rowOff>107577</xdr:rowOff>
    </xdr:from>
    <xdr:to>
      <xdr:col>70</xdr:col>
      <xdr:colOff>215152</xdr:colOff>
      <xdr:row>69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385482</xdr:colOff>
      <xdr:row>80</xdr:row>
      <xdr:rowOff>89648</xdr:rowOff>
    </xdr:from>
    <xdr:to>
      <xdr:col>32</xdr:col>
      <xdr:colOff>0</xdr:colOff>
      <xdr:row>99</xdr:row>
      <xdr:rowOff>134471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55</xdr:col>
      <xdr:colOff>8965</xdr:colOff>
      <xdr:row>2</xdr:row>
      <xdr:rowOff>116540</xdr:rowOff>
    </xdr:from>
    <xdr:to>
      <xdr:col>69</xdr:col>
      <xdr:colOff>89647</xdr:colOff>
      <xdr:row>27</xdr:row>
      <xdr:rowOff>17930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55</xdr:col>
      <xdr:colOff>143435</xdr:colOff>
      <xdr:row>27</xdr:row>
      <xdr:rowOff>53789</xdr:rowOff>
    </xdr:from>
    <xdr:to>
      <xdr:col>69</xdr:col>
      <xdr:colOff>62753</xdr:colOff>
      <xdr:row>46</xdr:row>
      <xdr:rowOff>62753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rd-sum\ar2004\desktop\My%202003\2003\Ar2002\2000IF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maliPerera\Lynear\Portfolio%20Management%20-%20Documents\Investment%20Orders\Daily%20Transactions\Daily%20Transactions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8">
          <cell r="C8" t="str">
            <v xml:space="preserve">                                 CBSL Weights</v>
          </cell>
          <cell r="E8" t="str">
            <v xml:space="preserve">                                 CBSL Weights</v>
          </cell>
        </row>
        <row r="9">
          <cell r="B9" t="str">
            <v xml:space="preserve"> Period</v>
          </cell>
          <cell r="C9" t="str">
            <v>NEERTP</v>
          </cell>
          <cell r="D9" t="str">
            <v>NEERCOMP.</v>
          </cell>
          <cell r="E9" t="str">
            <v>REERTP</v>
          </cell>
          <cell r="F9" t="str">
            <v xml:space="preserve"> REERCOM.</v>
          </cell>
        </row>
        <row r="11">
          <cell r="B11" t="str">
            <v>DEC 1988</v>
          </cell>
          <cell r="C11">
            <v>148.04400724001763</v>
          </cell>
          <cell r="D11">
            <v>128.5405637594871</v>
          </cell>
          <cell r="E11">
            <v>98.479881882128467</v>
          </cell>
          <cell r="F11">
            <v>98.377953018831462</v>
          </cell>
        </row>
        <row r="12">
          <cell r="B12" t="str">
            <v>JAN 1989</v>
          </cell>
          <cell r="C12">
            <v>149.46890559531408</v>
          </cell>
          <cell r="D12">
            <v>128.0592929898813</v>
          </cell>
          <cell r="E12">
            <v>97.920339324506472</v>
          </cell>
          <cell r="F12">
            <v>96.480115499973962</v>
          </cell>
        </row>
        <row r="13">
          <cell r="B13" t="str">
            <v>FEB 1989</v>
          </cell>
          <cell r="C13">
            <v>150.12514367653412</v>
          </cell>
          <cell r="D13">
            <v>128.09869538230274</v>
          </cell>
          <cell r="E13">
            <v>97.206908145403872</v>
          </cell>
          <cell r="F13">
            <v>95.309194690802897</v>
          </cell>
        </row>
        <row r="14">
          <cell r="B14" t="str">
            <v>MAR 1989</v>
          </cell>
          <cell r="C14">
            <v>149.73245451055308</v>
          </cell>
          <cell r="D14">
            <v>127.3119361097873</v>
          </cell>
          <cell r="E14">
            <v>97.391938870391769</v>
          </cell>
          <cell r="F14">
            <v>95.094220984241929</v>
          </cell>
        </row>
        <row r="15">
          <cell r="B15" t="str">
            <v>APR 1989</v>
          </cell>
          <cell r="C15">
            <v>147.43210485164562</v>
          </cell>
          <cell r="D15">
            <v>124.99934062016017</v>
          </cell>
          <cell r="E15">
            <v>96.143835462370802</v>
          </cell>
          <cell r="F15">
            <v>93.756987280824461</v>
          </cell>
        </row>
        <row r="16">
          <cell r="B16" t="str">
            <v>MAY 1989</v>
          </cell>
          <cell r="C16">
            <v>149.28319316522214</v>
          </cell>
          <cell r="D16">
            <v>124.49524296424815</v>
          </cell>
          <cell r="E16">
            <v>97.779305639300361</v>
          </cell>
          <cell r="F16">
            <v>93.490709143786617</v>
          </cell>
        </row>
        <row r="17">
          <cell r="B17" t="str">
            <v>JUN 1989</v>
          </cell>
          <cell r="C17">
            <v>150.69245175576174</v>
          </cell>
          <cell r="D17">
            <v>124.73536706150109</v>
          </cell>
          <cell r="E17">
            <v>100.46710161885659</v>
          </cell>
          <cell r="F17">
            <v>95.155853176279081</v>
          </cell>
        </row>
        <row r="18">
          <cell r="B18" t="str">
            <v>JUL 1989</v>
          </cell>
          <cell r="C18">
            <v>146.45912155803134</v>
          </cell>
          <cell r="D18">
            <v>122.89372893303489</v>
          </cell>
          <cell r="E18">
            <v>97.450264091222223</v>
          </cell>
          <cell r="F18">
            <v>93.339575069744185</v>
          </cell>
        </row>
        <row r="19">
          <cell r="B19" t="str">
            <v>AUG 1989</v>
          </cell>
          <cell r="C19">
            <v>140.97767361993323</v>
          </cell>
          <cell r="D19">
            <v>117.96491287598106</v>
          </cell>
          <cell r="E19">
            <v>95.758467129650256</v>
          </cell>
          <cell r="F19">
            <v>91.214262635466739</v>
          </cell>
        </row>
        <row r="20">
          <cell r="B20" t="str">
            <v>SEP 1989</v>
          </cell>
          <cell r="C20">
            <v>130.7236680723955</v>
          </cell>
          <cell r="D20">
            <v>108.874908408089</v>
          </cell>
          <cell r="E20">
            <v>89.062788279954972</v>
          </cell>
          <cell r="F20">
            <v>84.410126714524367</v>
          </cell>
        </row>
        <row r="21">
          <cell r="B21" t="str">
            <v>OCT 1989</v>
          </cell>
          <cell r="C21">
            <v>127.55223098358512</v>
          </cell>
          <cell r="D21">
            <v>107.36084531021253</v>
          </cell>
          <cell r="E21">
            <v>87.445972632419242</v>
          </cell>
          <cell r="F21">
            <v>83.739823657070602</v>
          </cell>
        </row>
        <row r="22">
          <cell r="B22" t="str">
            <v>NOV 1989</v>
          </cell>
          <cell r="C22">
            <v>127.56816069186161</v>
          </cell>
          <cell r="D22">
            <v>107.74551689126466</v>
          </cell>
          <cell r="E22">
            <v>89.281555749395167</v>
          </cell>
          <cell r="F22">
            <v>85.630410583416818</v>
          </cell>
        </row>
        <row r="23">
          <cell r="B23" t="str">
            <v>DEC 1989</v>
          </cell>
          <cell r="C23">
            <v>126.19295395601041</v>
          </cell>
          <cell r="D23">
            <v>107.47790736450287</v>
          </cell>
          <cell r="E23">
            <v>91.547100782263968</v>
          </cell>
          <cell r="F23">
            <v>88.615642959459151</v>
          </cell>
        </row>
        <row r="24">
          <cell r="B24" t="str">
            <v>JAN 1990</v>
          </cell>
          <cell r="C24">
            <v>126.1586793824255</v>
          </cell>
          <cell r="D24">
            <v>109.29136865783538</v>
          </cell>
          <cell r="E24">
            <v>93.162759184828715</v>
          </cell>
          <cell r="F24">
            <v>91.826865802535835</v>
          </cell>
        </row>
        <row r="25">
          <cell r="B25" t="str">
            <v>FEB 1990</v>
          </cell>
          <cell r="C25">
            <v>125.56402124183427</v>
          </cell>
          <cell r="D25">
            <v>109.38664457517466</v>
          </cell>
          <cell r="E25">
            <v>93.761478192303088</v>
          </cell>
          <cell r="F25">
            <v>92.903977465023686</v>
          </cell>
        </row>
        <row r="26">
          <cell r="B26" t="str">
            <v>MAR 1990</v>
          </cell>
          <cell r="C26">
            <v>127.28042815666674</v>
          </cell>
          <cell r="D26">
            <v>110.05926662992871</v>
          </cell>
          <cell r="E26">
            <v>95.618067958756626</v>
          </cell>
          <cell r="F26">
            <v>93.974625474078024</v>
          </cell>
        </row>
        <row r="27">
          <cell r="B27" t="str">
            <v>APR 1990</v>
          </cell>
          <cell r="C27">
            <v>127.57734972938783</v>
          </cell>
          <cell r="D27">
            <v>110.57647005544773</v>
          </cell>
          <cell r="E27">
            <v>96.309025070312728</v>
          </cell>
          <cell r="F27">
            <v>94.681534906289798</v>
          </cell>
        </row>
        <row r="28">
          <cell r="B28" t="str">
            <v>MAY 1990</v>
          </cell>
          <cell r="C28">
            <v>126.66307974639147</v>
          </cell>
          <cell r="D28">
            <v>110.78504955712263</v>
          </cell>
          <cell r="E28">
            <v>96.888380547505193</v>
          </cell>
          <cell r="F28">
            <v>96.148597942304079</v>
          </cell>
        </row>
        <row r="29">
          <cell r="B29" t="str">
            <v>JUN 1990</v>
          </cell>
          <cell r="C29">
            <v>126.91747256727517</v>
          </cell>
          <cell r="D29">
            <v>111.2381684272991</v>
          </cell>
          <cell r="E29">
            <v>97.979698986521555</v>
          </cell>
          <cell r="F29">
            <v>97.057588987367083</v>
          </cell>
        </row>
        <row r="30">
          <cell r="B30" t="str">
            <v>JUL 1990</v>
          </cell>
          <cell r="C30">
            <v>125.08772674003028</v>
          </cell>
          <cell r="D30">
            <v>110.86803473262088</v>
          </cell>
          <cell r="E30">
            <v>97.585113623000623</v>
          </cell>
          <cell r="F30">
            <v>97.574536630473119</v>
          </cell>
        </row>
        <row r="31">
          <cell r="B31" t="str">
            <v>AUG 1990</v>
          </cell>
          <cell r="C31">
            <v>123.299670444909</v>
          </cell>
          <cell r="D31">
            <v>110.73093941836449</v>
          </cell>
          <cell r="E31">
            <v>95.433708388860467</v>
          </cell>
          <cell r="F31">
            <v>96.863519756810391</v>
          </cell>
        </row>
        <row r="32">
          <cell r="B32" t="str">
            <v>SEP 1990</v>
          </cell>
          <cell r="C32">
            <v>123.03862673944532</v>
          </cell>
          <cell r="D32">
            <v>111.23215139325248</v>
          </cell>
          <cell r="E32">
            <v>95.06332778853988</v>
          </cell>
          <cell r="F32">
            <v>97.273938156207009</v>
          </cell>
        </row>
        <row r="33">
          <cell r="B33" t="str">
            <v>OCT 1990</v>
          </cell>
          <cell r="C33">
            <v>120.12855431218804</v>
          </cell>
          <cell r="D33">
            <v>110.20970556830787</v>
          </cell>
          <cell r="E33">
            <v>92.346504502424111</v>
          </cell>
          <cell r="F33">
            <v>95.90177460662575</v>
          </cell>
        </row>
        <row r="34">
          <cell r="B34" t="str">
            <v>NOV 1990</v>
          </cell>
          <cell r="C34">
            <v>119.48530923880872</v>
          </cell>
          <cell r="D34">
            <v>110.3589462619797</v>
          </cell>
          <cell r="E34">
            <v>95.704797983352051</v>
          </cell>
          <cell r="F34">
            <v>99.697692242633025</v>
          </cell>
        </row>
        <row r="35">
          <cell r="B35" t="str">
            <v>DEC 1990</v>
          </cell>
          <cell r="C35">
            <v>120.82657901574839</v>
          </cell>
          <cell r="D35">
            <v>111.2582748694104</v>
          </cell>
          <cell r="E35">
            <v>98.474255710772113</v>
          </cell>
          <cell r="F35">
            <v>101.96308098431167</v>
          </cell>
        </row>
        <row r="36">
          <cell r="B36" t="str">
            <v>Jan91</v>
          </cell>
          <cell r="C36">
            <v>121.17098526897986</v>
          </cell>
          <cell r="D36">
            <v>111.67764637108912</v>
          </cell>
          <cell r="E36">
            <v>96.900052231345228</v>
          </cell>
          <cell r="F36">
            <v>100.32217315342744</v>
          </cell>
        </row>
        <row r="37">
          <cell r="B37" t="str">
            <v>FEB 1991</v>
          </cell>
          <cell r="C37">
            <v>119.40023554035176</v>
          </cell>
          <cell r="D37">
            <v>111.25299500385442</v>
          </cell>
          <cell r="E37">
            <v>95.119206637910935</v>
          </cell>
          <cell r="F37">
            <v>99.229808536133604</v>
          </cell>
        </row>
        <row r="38">
          <cell r="B38" t="str">
            <v>MAR 1991</v>
          </cell>
          <cell r="C38">
            <v>122.67870775467499</v>
          </cell>
          <cell r="D38">
            <v>112.07272890292064</v>
          </cell>
          <cell r="E38">
            <v>99.182211172862893</v>
          </cell>
          <cell r="F38">
            <v>101.29925501961921</v>
          </cell>
        </row>
        <row r="39">
          <cell r="B39" t="str">
            <v>APR 1991</v>
          </cell>
          <cell r="C39">
            <v>124.82502878315937</v>
          </cell>
          <cell r="D39">
            <v>112.88715530437609</v>
          </cell>
          <cell r="E39">
            <v>101.46649768390775</v>
          </cell>
          <cell r="F39">
            <v>102.49096596894687</v>
          </cell>
        </row>
        <row r="40">
          <cell r="B40" t="str">
            <v>MAY 1991</v>
          </cell>
          <cell r="C40">
            <v>125.08870573558005</v>
          </cell>
          <cell r="D40">
            <v>113.13200656855614</v>
          </cell>
          <cell r="E40">
            <v>102.65617924220003</v>
          </cell>
          <cell r="F40">
            <v>103.61489326655371</v>
          </cell>
        </row>
        <row r="41">
          <cell r="B41" t="str">
            <v>JUN 1991</v>
          </cell>
          <cell r="C41">
            <v>126.14512067502039</v>
          </cell>
          <cell r="D41">
            <v>113.10151177314469</v>
          </cell>
          <cell r="E41">
            <v>104.53774605693073</v>
          </cell>
          <cell r="F41">
            <v>104.15686740234599</v>
          </cell>
        </row>
        <row r="42">
          <cell r="B42" t="str">
            <v>JUL 1991</v>
          </cell>
          <cell r="C42">
            <v>128.01340147918052</v>
          </cell>
          <cell r="D42">
            <v>117.40544146657423</v>
          </cell>
          <cell r="E42">
            <v>105.35124764917981</v>
          </cell>
          <cell r="F42">
            <v>107.194829887794</v>
          </cell>
        </row>
        <row r="43">
          <cell r="B43" t="str">
            <v>AUG 1991</v>
          </cell>
          <cell r="C43">
            <v>125.49441633731296</v>
          </cell>
          <cell r="D43">
            <v>116.12436484870419</v>
          </cell>
          <cell r="E43">
            <v>102.74320431410881</v>
          </cell>
          <cell r="F43">
            <v>104.81063756793591</v>
          </cell>
        </row>
        <row r="44">
          <cell r="B44" t="str">
            <v>SEP 1991</v>
          </cell>
          <cell r="C44">
            <v>123.81525417083057</v>
          </cell>
          <cell r="D44">
            <v>115.5407571624682</v>
          </cell>
          <cell r="E44">
            <v>99.744684820251337</v>
          </cell>
          <cell r="F44">
            <v>102.44562414196857</v>
          </cell>
        </row>
        <row r="45">
          <cell r="B45" t="str">
            <v>OCT 1991</v>
          </cell>
          <cell r="C45">
            <v>122.71273804670466</v>
          </cell>
          <cell r="D45">
            <v>114.86952184266342</v>
          </cell>
          <cell r="E45">
            <v>99.173105971497009</v>
          </cell>
          <cell r="F45">
            <v>102.1552086187759</v>
          </cell>
        </row>
        <row r="46">
          <cell r="B46" t="str">
            <v>NOV 1991</v>
          </cell>
          <cell r="C46">
            <v>120.73885626945734</v>
          </cell>
          <cell r="D46">
            <v>114.07012459646327</v>
          </cell>
          <cell r="E46">
            <v>100.14570942909889</v>
          </cell>
          <cell r="F46">
            <v>104.11484282201292</v>
          </cell>
        </row>
        <row r="47">
          <cell r="B47" t="str">
            <v>DEC 1991</v>
          </cell>
          <cell r="C47">
            <v>118.99894563758417</v>
          </cell>
          <cell r="D47">
            <v>113.43073086865807</v>
          </cell>
          <cell r="E47">
            <v>100.31343254829149</v>
          </cell>
          <cell r="F47">
            <v>104.96127771450074</v>
          </cell>
        </row>
        <row r="48">
          <cell r="B48" t="str">
            <v>Jan1992</v>
          </cell>
          <cell r="C48">
            <v>118.24059794994247</v>
          </cell>
          <cell r="D48">
            <v>112.6802487381333</v>
          </cell>
          <cell r="E48">
            <v>101.02297783364239</v>
          </cell>
          <cell r="F48">
            <v>105.30115264380815</v>
          </cell>
        </row>
        <row r="49">
          <cell r="B49" t="str">
            <v>FEB 1992</v>
          </cell>
          <cell r="C49">
            <v>118.84261238460175</v>
          </cell>
          <cell r="D49">
            <v>112.1310948677218</v>
          </cell>
          <cell r="E49">
            <v>99.926757156475574</v>
          </cell>
          <cell r="F49">
            <v>102.99109525414214</v>
          </cell>
        </row>
        <row r="50">
          <cell r="B50" t="str">
            <v>MAR 1992</v>
          </cell>
          <cell r="C50">
            <v>120.7979561270736</v>
          </cell>
          <cell r="D50">
            <v>114.65183917986916</v>
          </cell>
          <cell r="E50">
            <v>101.75455809969964</v>
          </cell>
          <cell r="F50">
            <v>105.42080525401956</v>
          </cell>
        </row>
        <row r="51">
          <cell r="B51" t="str">
            <v>APR 1992</v>
          </cell>
          <cell r="C51">
            <v>120.05923447936782</v>
          </cell>
          <cell r="D51">
            <v>114.83988364196361</v>
          </cell>
          <cell r="E51">
            <v>102.05339372862279</v>
          </cell>
          <cell r="F51">
            <v>106.57699315880272</v>
          </cell>
        </row>
        <row r="52">
          <cell r="B52" t="str">
            <v>MAY 1992</v>
          </cell>
          <cell r="C52">
            <v>118.37722067592941</v>
          </cell>
          <cell r="D52">
            <v>113.90927838541168</v>
          </cell>
          <cell r="E52">
            <v>101.94067291093354</v>
          </cell>
          <cell r="F52">
            <v>106.86614652487764</v>
          </cell>
        </row>
        <row r="53">
          <cell r="B53" t="str">
            <v>JUN 1992</v>
          </cell>
          <cell r="C53">
            <v>116.21364343064094</v>
          </cell>
          <cell r="D53">
            <v>112.79699100887379</v>
          </cell>
          <cell r="E53">
            <v>103.29610922103826</v>
          </cell>
          <cell r="F53">
            <v>109.00854051400934</v>
          </cell>
        </row>
        <row r="54">
          <cell r="B54" t="str">
            <v>JUL 1992</v>
          </cell>
          <cell r="C54">
            <v>114.13869989116817</v>
          </cell>
          <cell r="D54">
            <v>112.26088513690087</v>
          </cell>
          <cell r="E54">
            <v>99.351499505636951</v>
          </cell>
          <cell r="F54">
            <v>105.84601444691391</v>
          </cell>
        </row>
        <row r="55">
          <cell r="B55" t="str">
            <v>AUG 1992</v>
          </cell>
          <cell r="C55">
            <v>113.20537363755027</v>
          </cell>
          <cell r="D55">
            <v>111.99393987402104</v>
          </cell>
          <cell r="E55">
            <v>97.424673936730287</v>
          </cell>
          <cell r="F55">
            <v>104.21927142889719</v>
          </cell>
        </row>
        <row r="56">
          <cell r="B56" t="str">
            <v>SEP 1992</v>
          </cell>
          <cell r="C56">
            <v>113.51157179515012</v>
          </cell>
          <cell r="D56">
            <v>111.55922835849175</v>
          </cell>
          <cell r="E56">
            <v>98.712247278083737</v>
          </cell>
          <cell r="F56">
            <v>104.87651212840538</v>
          </cell>
        </row>
        <row r="57">
          <cell r="B57" t="str">
            <v>OCT 1992</v>
          </cell>
          <cell r="C57">
            <v>114.60249359035228</v>
          </cell>
          <cell r="D57">
            <v>111.08926996126544</v>
          </cell>
          <cell r="E57">
            <v>99.863642248138135</v>
          </cell>
          <cell r="F57">
            <v>104.38341847836041</v>
          </cell>
        </row>
        <row r="58">
          <cell r="B58" t="str">
            <v>NOV 1992</v>
          </cell>
          <cell r="C58">
            <v>117.06405613824523</v>
          </cell>
          <cell r="D58">
            <v>111.13982273213675</v>
          </cell>
          <cell r="E58">
            <v>104.46390055601269</v>
          </cell>
          <cell r="F58">
            <v>107.02584360046646</v>
          </cell>
        </row>
        <row r="59">
          <cell r="B59" t="str">
            <v>DEC 1992</v>
          </cell>
          <cell r="C59">
            <v>116.29202114694445</v>
          </cell>
          <cell r="D59">
            <v>110.85827577526371</v>
          </cell>
          <cell r="E59">
            <v>107.35026015742343</v>
          </cell>
          <cell r="F59">
            <v>110.2142705195682</v>
          </cell>
        </row>
        <row r="60">
          <cell r="B60" t="str">
            <v>Jan93</v>
          </cell>
          <cell r="C60">
            <v>113.91879004614738</v>
          </cell>
          <cell r="D60">
            <v>108.07112239357325</v>
          </cell>
          <cell r="E60">
            <v>107.54796720462362</v>
          </cell>
          <cell r="F60">
            <v>109.69757495533749</v>
          </cell>
        </row>
        <row r="61">
          <cell r="B61" t="str">
            <v>FEB 1993</v>
          </cell>
          <cell r="C61">
            <v>114.9218123167016</v>
          </cell>
          <cell r="D61">
            <v>109.18531789347502</v>
          </cell>
          <cell r="E61">
            <v>107.50065789757366</v>
          </cell>
          <cell r="F61">
            <v>109.70113188782589</v>
          </cell>
        </row>
        <row r="62">
          <cell r="B62" t="str">
            <v>MAR 1993</v>
          </cell>
          <cell r="C62">
            <v>113.21256093723538</v>
          </cell>
          <cell r="D62">
            <v>107.55371248898541</v>
          </cell>
          <cell r="E62">
            <v>103.62084521065415</v>
          </cell>
          <cell r="F62">
            <v>105.56263302134406</v>
          </cell>
        </row>
        <row r="63">
          <cell r="B63" t="str">
            <v>APR 1993</v>
          </cell>
          <cell r="C63">
            <v>109.415270252319</v>
          </cell>
          <cell r="D63">
            <v>105.34024439139829</v>
          </cell>
          <cell r="E63">
            <v>98.326833428769106</v>
          </cell>
          <cell r="F63">
            <v>101.4599305679173</v>
          </cell>
        </row>
        <row r="64">
          <cell r="B64" t="str">
            <v>MAY 1993</v>
          </cell>
          <cell r="C64">
            <v>108.73989259230787</v>
          </cell>
          <cell r="D64">
            <v>104.90203187729098</v>
          </cell>
          <cell r="E64">
            <v>99.663554515917511</v>
          </cell>
          <cell r="F64">
            <v>102.83428133031296</v>
          </cell>
        </row>
        <row r="65">
          <cell r="B65" t="str">
            <v>JUN 1993</v>
          </cell>
          <cell r="C65">
            <v>108.88465614816585</v>
          </cell>
          <cell r="D65">
            <v>104.61381206783125</v>
          </cell>
          <cell r="E65">
            <v>101.83948264348888</v>
          </cell>
          <cell r="F65">
            <v>104.31022269819734</v>
          </cell>
        </row>
        <row r="66">
          <cell r="B66" t="str">
            <v>JUL 1993</v>
          </cell>
          <cell r="C66">
            <v>108.79958361323173</v>
          </cell>
          <cell r="D66">
            <v>103.92361270082228</v>
          </cell>
          <cell r="E66">
            <v>102.40888702049391</v>
          </cell>
          <cell r="F66">
            <v>104.05712766017173</v>
          </cell>
        </row>
        <row r="67">
          <cell r="B67" t="str">
            <v>AUG 1993</v>
          </cell>
          <cell r="C67">
            <v>108.17766912469878</v>
          </cell>
          <cell r="D67">
            <v>103.60678834413181</v>
          </cell>
          <cell r="E67">
            <v>101.65640613465024</v>
          </cell>
          <cell r="F67">
            <v>103.36895639968652</v>
          </cell>
        </row>
        <row r="68">
          <cell r="B68" t="str">
            <v>SEP 1993</v>
          </cell>
          <cell r="C68">
            <v>107.24525877600468</v>
          </cell>
          <cell r="D68">
            <v>103.37431060465066</v>
          </cell>
          <cell r="E68">
            <v>99.188145376255989</v>
          </cell>
          <cell r="F68">
            <v>101.12739714425871</v>
          </cell>
        </row>
        <row r="69">
          <cell r="B69" t="str">
            <v>OCT 1993</v>
          </cell>
          <cell r="C69">
            <v>107.54990955427193</v>
          </cell>
          <cell r="D69">
            <v>103.04201109276616</v>
          </cell>
          <cell r="E69">
            <v>97.209598671732763</v>
          </cell>
          <cell r="F69">
            <v>100.5137531363756</v>
          </cell>
        </row>
        <row r="70">
          <cell r="B70" t="str">
            <v>NOV 1993</v>
          </cell>
          <cell r="C70">
            <v>108.12545512411671</v>
          </cell>
          <cell r="D70">
            <v>102.89887328186957</v>
          </cell>
          <cell r="E70">
            <v>103.35721513600943</v>
          </cell>
          <cell r="F70">
            <v>103.63903139297777</v>
          </cell>
        </row>
        <row r="71">
          <cell r="B71" t="str">
            <v>DEC 1993</v>
          </cell>
          <cell r="C71">
            <v>107.87672337735674</v>
          </cell>
          <cell r="D71">
            <v>102.58956115489508</v>
          </cell>
          <cell r="E71">
            <v>105.53501105187573</v>
          </cell>
          <cell r="F71">
            <v>105.51883243935029</v>
          </cell>
        </row>
        <row r="72">
          <cell r="B72" t="str">
            <v>Jan94</v>
          </cell>
          <cell r="C72">
            <v>108.04068802609576</v>
          </cell>
          <cell r="D72">
            <v>102.54198396935845</v>
          </cell>
          <cell r="E72">
            <v>107.9685061805927</v>
          </cell>
          <cell r="F72">
            <v>107.45466014858668</v>
          </cell>
        </row>
        <row r="73">
          <cell r="B73" t="str">
            <v>FEB 1994</v>
          </cell>
          <cell r="C73">
            <v>109.28712921208967</v>
          </cell>
          <cell r="D73">
            <v>105.8350446628373</v>
          </cell>
          <cell r="E73">
            <v>109.47276034405647</v>
          </cell>
          <cell r="F73">
            <v>110.05264630643329</v>
          </cell>
        </row>
        <row r="74">
          <cell r="B74" t="str">
            <v>Mar 1994</v>
          </cell>
          <cell r="C74">
            <v>109.03773365392949</v>
          </cell>
          <cell r="D74">
            <v>106.32163413473192</v>
          </cell>
          <cell r="E74">
            <v>109.32850022471813</v>
          </cell>
          <cell r="F74">
            <v>110.65037101245971</v>
          </cell>
        </row>
        <row r="75">
          <cell r="B75" t="str">
            <v>APR 1994</v>
          </cell>
          <cell r="C75">
            <v>109.00908342649664</v>
          </cell>
          <cell r="D75">
            <v>106.09265052734013</v>
          </cell>
          <cell r="E75">
            <v>109.6940908486708</v>
          </cell>
          <cell r="F75">
            <v>110.59702062196376</v>
          </cell>
        </row>
        <row r="76">
          <cell r="B76" t="str">
            <v>MAY 1994</v>
          </cell>
          <cell r="C76">
            <v>108.190332339487</v>
          </cell>
          <cell r="D76">
            <v>105.64640372042211</v>
          </cell>
          <cell r="E76">
            <v>106.31616379303375</v>
          </cell>
          <cell r="F76">
            <v>107.22318702762917</v>
          </cell>
        </row>
        <row r="77">
          <cell r="B77" t="str">
            <v>JUN 1994</v>
          </cell>
          <cell r="C77">
            <v>107.06216542216892</v>
          </cell>
          <cell r="D77">
            <v>104.98701348826359</v>
          </cell>
          <cell r="E77">
            <v>105.02751044846988</v>
          </cell>
          <cell r="F77">
            <v>105.90945734726823</v>
          </cell>
        </row>
        <row r="78">
          <cell r="B78" t="str">
            <v>JUL 1994</v>
          </cell>
          <cell r="C78">
            <v>106.27352693574619</v>
          </cell>
          <cell r="D78">
            <v>105.35042631830613</v>
          </cell>
          <cell r="E78">
            <v>100.85397192039929</v>
          </cell>
          <cell r="F78">
            <v>102.26889597021358</v>
          </cell>
        </row>
        <row r="79">
          <cell r="B79" t="str">
            <v>AUG 1994</v>
          </cell>
          <cell r="C79">
            <v>105.79252756703264</v>
          </cell>
          <cell r="D79">
            <v>104.35222088308483</v>
          </cell>
          <cell r="E79">
            <v>101.20945755625353</v>
          </cell>
          <cell r="F79">
            <v>101.98582708278525</v>
          </cell>
        </row>
        <row r="80">
          <cell r="B80" t="str">
            <v>SEP 1994</v>
          </cell>
          <cell r="C80">
            <v>105.11087534933121</v>
          </cell>
          <cell r="D80">
            <v>103.95228595513321</v>
          </cell>
          <cell r="E80">
            <v>96.623878493596649</v>
          </cell>
          <cell r="F80">
            <v>97.389626611480679</v>
          </cell>
        </row>
        <row r="81">
          <cell r="B81" t="str">
            <v>OCT 1994</v>
          </cell>
          <cell r="C81">
            <v>104.65265195383952</v>
          </cell>
          <cell r="D81">
            <v>104.02047263334755</v>
          </cell>
          <cell r="E81">
            <v>95.211941485391861</v>
          </cell>
          <cell r="F81">
            <v>96.199690325281367</v>
          </cell>
        </row>
        <row r="82">
          <cell r="B82" t="str">
            <v>NOV 1994</v>
          </cell>
          <cell r="C82">
            <v>104.98610862727708</v>
          </cell>
          <cell r="D82">
            <v>104.0291717274893</v>
          </cell>
          <cell r="E82">
            <v>98.290597915548517</v>
          </cell>
          <cell r="F82">
            <v>98.769591482256587</v>
          </cell>
        </row>
        <row r="83">
          <cell r="B83" t="str">
            <v>DEC 1994</v>
          </cell>
          <cell r="C83">
            <v>105.00570872624937</v>
          </cell>
          <cell r="D83">
            <v>103.21491301757817</v>
          </cell>
          <cell r="E83">
            <v>102.10714918399256</v>
          </cell>
          <cell r="F83">
            <v>101.72976310463447</v>
          </cell>
        </row>
        <row r="84">
          <cell r="B84" t="str">
            <v>Jan  95</v>
          </cell>
          <cell r="C84">
            <v>103.56497618250127</v>
          </cell>
          <cell r="D84">
            <v>102.25829752718492</v>
          </cell>
          <cell r="E84">
            <v>101.03022870149749</v>
          </cell>
          <cell r="F84">
            <v>100.86344281421695</v>
          </cell>
        </row>
        <row r="85">
          <cell r="B85" t="str">
            <v>FEB 1995</v>
          </cell>
          <cell r="C85">
            <v>103.05203518417407</v>
          </cell>
          <cell r="D85">
            <v>102.04858804569439</v>
          </cell>
          <cell r="E85">
            <v>100.08537566866107</v>
          </cell>
          <cell r="F85">
            <v>100.18561148935822</v>
          </cell>
        </row>
        <row r="86">
          <cell r="B86" t="str">
            <v>MAR 1995</v>
          </cell>
          <cell r="C86">
            <v>101.54464305731736</v>
          </cell>
          <cell r="D86">
            <v>102.08906462721073</v>
          </cell>
          <cell r="E86">
            <v>96.766179328716021</v>
          </cell>
          <cell r="F86">
            <v>98.141832954998506</v>
          </cell>
        </row>
        <row r="87">
          <cell r="B87" t="str">
            <v>APR 1995</v>
          </cell>
          <cell r="C87">
            <v>100.47736299748274</v>
          </cell>
          <cell r="D87">
            <v>101.70024142629299</v>
          </cell>
          <cell r="E87">
            <v>97.515209904586484</v>
          </cell>
          <cell r="F87">
            <v>99.375792208535017</v>
          </cell>
        </row>
        <row r="88">
          <cell r="B88" t="str">
            <v>MAY 1995</v>
          </cell>
          <cell r="C88">
            <v>100.38699939467196</v>
          </cell>
          <cell r="D88">
            <v>100.83910070433674</v>
          </cell>
          <cell r="E88">
            <v>102.11420391897181</v>
          </cell>
          <cell r="F88">
            <v>103.01841891618768</v>
          </cell>
        </row>
        <row r="89">
          <cell r="B89" t="str">
            <v>JUN 1995</v>
          </cell>
          <cell r="C89">
            <v>99.62141290555239</v>
          </cell>
          <cell r="D89">
            <v>100.25286284263741</v>
          </cell>
          <cell r="E89">
            <v>102.99611378144522</v>
          </cell>
          <cell r="F89">
            <v>103.66907244393735</v>
          </cell>
        </row>
        <row r="90">
          <cell r="B90" t="str">
            <v>JUL 1995</v>
          </cell>
          <cell r="C90">
            <v>102.38046174519995</v>
          </cell>
          <cell r="D90">
            <v>99.412477414667052</v>
          </cell>
          <cell r="E90">
            <v>105.36240070707257</v>
          </cell>
          <cell r="F90">
            <v>101.89311760680376</v>
          </cell>
        </row>
        <row r="91">
          <cell r="B91" t="str">
            <v>AUG 1995</v>
          </cell>
          <cell r="C91">
            <v>99.371485464993427</v>
          </cell>
          <cell r="D91">
            <v>99.245952364985087</v>
          </cell>
          <cell r="E91">
            <v>99.242678023025491</v>
          </cell>
          <cell r="F91">
            <v>98.582512583219639</v>
          </cell>
        </row>
        <row r="92">
          <cell r="B92" t="str">
            <v>SEP 1995</v>
          </cell>
          <cell r="C92">
            <v>99.044359709944132</v>
          </cell>
          <cell r="D92">
            <v>99.02966768685431</v>
          </cell>
          <cell r="E92">
            <v>96.928765020507711</v>
          </cell>
          <cell r="F92">
            <v>96.27237944002546</v>
          </cell>
        </row>
        <row r="93">
          <cell r="B93" t="str">
            <v>OCT 1995</v>
          </cell>
          <cell r="C93">
            <v>97.83955989675556</v>
          </cell>
          <cell r="D93">
            <v>98.750079640000791</v>
          </cell>
          <cell r="E93">
            <v>97.387756386771443</v>
          </cell>
          <cell r="F93">
            <v>97.454223007582385</v>
          </cell>
        </row>
        <row r="94">
          <cell r="B94" t="str">
            <v>NOV 1995</v>
          </cell>
          <cell r="C94">
            <v>96.815001584751812</v>
          </cell>
          <cell r="D94">
            <v>97.74093644272395</v>
          </cell>
          <cell r="E94">
            <v>100.09338390372979</v>
          </cell>
          <cell r="F94">
            <v>99.969276934367684</v>
          </cell>
        </row>
        <row r="95">
          <cell r="B95" t="str">
            <v>DEC 1995</v>
          </cell>
          <cell r="C95">
            <v>96.197721223330916</v>
          </cell>
          <cell r="D95">
            <v>96.813186306593039</v>
          </cell>
          <cell r="E95">
            <v>100.85187870826685</v>
          </cell>
          <cell r="F95">
            <v>100.84360059111006</v>
          </cell>
        </row>
        <row r="96">
          <cell r="B96" t="str">
            <v>Jan96</v>
          </cell>
          <cell r="C96">
            <v>96.654955443165292</v>
          </cell>
          <cell r="D96">
            <v>96.868342425296063</v>
          </cell>
          <cell r="E96">
            <v>101.43844219779217</v>
          </cell>
          <cell r="F96">
            <v>100.8507763544972</v>
          </cell>
        </row>
        <row r="97">
          <cell r="B97" t="str">
            <v>FEB 1996</v>
          </cell>
          <cell r="C97">
            <v>97.067162001117197</v>
          </cell>
          <cell r="D97">
            <v>97.881577171750422</v>
          </cell>
          <cell r="E97">
            <v>101.95500589093595</v>
          </cell>
          <cell r="F97">
            <v>101.82874077859449</v>
          </cell>
        </row>
        <row r="98">
          <cell r="B98" t="str">
            <v>MAR 1996</v>
          </cell>
          <cell r="C98">
            <v>96.811571361179219</v>
          </cell>
          <cell r="D98">
            <v>96.697261822413012</v>
          </cell>
          <cell r="E98">
            <v>101.35879073233075</v>
          </cell>
          <cell r="F98">
            <v>100.25572117949997</v>
          </cell>
        </row>
        <row r="99">
          <cell r="B99" t="str">
            <v>APR 1996</v>
          </cell>
          <cell r="C99">
            <v>97.166544096698885</v>
          </cell>
          <cell r="D99">
            <v>96.336381282409135</v>
          </cell>
          <cell r="E99">
            <v>104.18936818706764</v>
          </cell>
          <cell r="F99">
            <v>101.99651561685474</v>
          </cell>
        </row>
        <row r="100">
          <cell r="B100" t="str">
            <v>May 1996</v>
          </cell>
          <cell r="C100">
            <v>96.672285058481364</v>
          </cell>
          <cell r="D100">
            <v>95.085121881455422</v>
          </cell>
          <cell r="E100">
            <v>108.34202118272465</v>
          </cell>
          <cell r="F100">
            <v>105.27103854038413</v>
          </cell>
        </row>
        <row r="101">
          <cell r="B101" t="str">
            <v>June 1996</v>
          </cell>
          <cell r="C101">
            <v>95.88531886116445</v>
          </cell>
          <cell r="D101">
            <v>94.781709339099137</v>
          </cell>
          <cell r="E101">
            <v>111.79829253983542</v>
          </cell>
          <cell r="F101">
            <v>108.69755271641884</v>
          </cell>
        </row>
        <row r="102">
          <cell r="B102" t="str">
            <v>July 1996</v>
          </cell>
          <cell r="C102">
            <v>95.367858599259776</v>
          </cell>
          <cell r="D102">
            <v>95.573638345726081</v>
          </cell>
          <cell r="E102">
            <v>109.90861224040228</v>
          </cell>
          <cell r="F102">
            <v>108.18300851583211</v>
          </cell>
        </row>
        <row r="103">
          <cell r="B103" t="str">
            <v>Aug 1996</v>
          </cell>
          <cell r="C103">
            <v>94.638370341984327</v>
          </cell>
          <cell r="D103">
            <v>95.192791320947975</v>
          </cell>
          <cell r="E103">
            <v>109.00405948940364</v>
          </cell>
          <cell r="F103">
            <v>107.21045047851568</v>
          </cell>
        </row>
        <row r="104">
          <cell r="B104" t="str">
            <v>Sep 1996</v>
          </cell>
          <cell r="C104">
            <v>94.314389329077642</v>
          </cell>
          <cell r="D104">
            <v>94.608541665889376</v>
          </cell>
          <cell r="E104">
            <v>108.67013620040638</v>
          </cell>
          <cell r="F104">
            <v>106.6119039903918</v>
          </cell>
        </row>
        <row r="105">
          <cell r="B105" t="str">
            <v>Oct 1996</v>
          </cell>
          <cell r="C105">
            <v>94.065596474698594</v>
          </cell>
          <cell r="D105">
            <v>94.186726850804348</v>
          </cell>
          <cell r="E105">
            <v>108.61969825589043</v>
          </cell>
          <cell r="F105">
            <v>106.41459664019477</v>
          </cell>
        </row>
        <row r="106">
          <cell r="B106" t="str">
            <v>Nov 1996</v>
          </cell>
          <cell r="C106">
            <v>93.508709934700818</v>
          </cell>
          <cell r="D106">
            <v>94.244223254409164</v>
          </cell>
          <cell r="E106">
            <v>109.00017369926663</v>
          </cell>
          <cell r="F106">
            <v>107.29757362772527</v>
          </cell>
        </row>
        <row r="107">
          <cell r="B107" t="str">
            <v>Dec 1996</v>
          </cell>
          <cell r="C107">
            <v>93.953562032884932</v>
          </cell>
          <cell r="D107">
            <v>94.342806468539649</v>
          </cell>
          <cell r="E107">
            <v>110.95208232472547</v>
          </cell>
          <cell r="F107">
            <v>108.75347941130534</v>
          </cell>
        </row>
        <row r="108">
          <cell r="B108" t="str">
            <v>Jan  1997</v>
          </cell>
          <cell r="C108">
            <v>94.914502223828009</v>
          </cell>
          <cell r="D108">
            <v>94.541662332438648</v>
          </cell>
          <cell r="E108">
            <v>112.28124534889068</v>
          </cell>
          <cell r="F108">
            <v>109.17088872419332</v>
          </cell>
        </row>
        <row r="109">
          <cell r="B109" t="str">
            <v>Feb1997</v>
          </cell>
          <cell r="C109">
            <v>94.94976729553494</v>
          </cell>
          <cell r="D109">
            <v>93.23192148407702</v>
          </cell>
          <cell r="E109">
            <v>111.37580932161649</v>
          </cell>
          <cell r="F109">
            <v>106.58503722754737</v>
          </cell>
        </row>
        <row r="110">
          <cell r="B110" t="str">
            <v>Mar1997</v>
          </cell>
          <cell r="C110">
            <v>94.93483783320525</v>
          </cell>
          <cell r="D110">
            <v>93.320932070602154</v>
          </cell>
          <cell r="E110">
            <v>110.06239675724649</v>
          </cell>
          <cell r="F110">
            <v>105.55556768531152</v>
          </cell>
        </row>
        <row r="111">
          <cell r="B111" t="str">
            <v>Apr1997</v>
          </cell>
          <cell r="C111">
            <v>94.140317195567889</v>
          </cell>
          <cell r="D111">
            <v>92.419333564059315</v>
          </cell>
          <cell r="E111">
            <v>109.00577928667666</v>
          </cell>
          <cell r="F111">
            <v>104.43185824371722</v>
          </cell>
        </row>
        <row r="112">
          <cell r="B112" t="str">
            <v>May1997</v>
          </cell>
          <cell r="C112">
            <v>92.945489610877644</v>
          </cell>
          <cell r="D112">
            <v>91.752100894518009</v>
          </cell>
          <cell r="E112">
            <v>109.17080224012004</v>
          </cell>
          <cell r="F112">
            <v>105.22709170979643</v>
          </cell>
        </row>
        <row r="113">
          <cell r="B113" t="str">
            <v>Jun1997</v>
          </cell>
          <cell r="C113">
            <v>92.455792214147152</v>
          </cell>
          <cell r="D113">
            <v>91.395066853124391</v>
          </cell>
          <cell r="E113">
            <v>108.91010701475314</v>
          </cell>
          <cell r="F113">
            <v>104.97184315036966</v>
          </cell>
        </row>
        <row r="114">
          <cell r="B114" t="str">
            <v>July 1997</v>
          </cell>
          <cell r="C114">
            <v>93.320554380943122</v>
          </cell>
          <cell r="D114">
            <v>92.901285846382848</v>
          </cell>
          <cell r="E114">
            <v>111.99352695337838</v>
          </cell>
          <cell r="F114">
            <v>108.42410844042411</v>
          </cell>
        </row>
        <row r="115">
          <cell r="B115" t="str">
            <v>Aug 1997</v>
          </cell>
          <cell r="C115">
            <v>94.646004574975464</v>
          </cell>
          <cell r="D115">
            <v>94.279055426301156</v>
          </cell>
          <cell r="E115">
            <v>113.43335309888833</v>
          </cell>
          <cell r="F115">
            <v>109.76260689810286</v>
          </cell>
        </row>
        <row r="116">
          <cell r="B116" t="str">
            <v>Sep 1997</v>
          </cell>
          <cell r="C116">
            <v>95.104415430153438</v>
          </cell>
          <cell r="D116">
            <v>96.766527562515932</v>
          </cell>
          <cell r="E116">
            <v>113.77290802370172</v>
          </cell>
          <cell r="F116">
            <v>112.39582999687052</v>
          </cell>
        </row>
        <row r="117">
          <cell r="B117" t="str">
            <v>Oct 1997</v>
          </cell>
          <cell r="C117">
            <v>94.974820438434961</v>
          </cell>
          <cell r="D117">
            <v>98.276332656121568</v>
          </cell>
          <cell r="E117">
            <v>113.43573026931267</v>
          </cell>
          <cell r="F117">
            <v>113.68633964446944</v>
          </cell>
        </row>
        <row r="118">
          <cell r="B118" t="str">
            <v>Nov 1997</v>
          </cell>
          <cell r="C118">
            <v>95.664870130176354</v>
          </cell>
          <cell r="D118">
            <v>101.77802110119754</v>
          </cell>
          <cell r="E118">
            <v>117.94288714985211</v>
          </cell>
          <cell r="F118">
            <v>121.28711873977348</v>
          </cell>
        </row>
        <row r="119">
          <cell r="B119" t="str">
            <v>Dec 1997</v>
          </cell>
          <cell r="C119">
            <v>99.657291072826283</v>
          </cell>
          <cell r="D119">
            <v>112.44367141527258</v>
          </cell>
          <cell r="E119">
            <v>126.44729405820907</v>
          </cell>
          <cell r="F119">
            <v>137.13977950776629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y 2019"/>
      <sheetName val="Transactions 2020"/>
      <sheetName val="Treasuries"/>
      <sheetName val="Deposits 2019"/>
      <sheetName val="Sheet2"/>
      <sheetName val="Corporate Debt"/>
      <sheetName val="AC detail"/>
      <sheetName val="HY Likuid"/>
      <sheetName val="HY PROPERTY"/>
      <sheetName val="SAY propet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" displayName="Table13" ref="A1:L688" totalsRowShown="0" headerRowDxfId="14" dataDxfId="13" tableBorderDxfId="12" dataCellStyle="Normal 5">
  <autoFilter ref="A1:L688" xr:uid="{00000000-0009-0000-0100-000001000000}"/>
  <sortState xmlns:xlrd2="http://schemas.microsoft.com/office/spreadsheetml/2017/richdata2" ref="A2:L592">
    <sortCondition ref="A1:A592"/>
  </sortState>
  <tableColumns count="12">
    <tableColumn id="1" xr3:uid="{00000000-0010-0000-0000-000001000000}" name="Date_d" dataDxfId="11" dataCellStyle="Normal 5"/>
    <tableColumn id="2" xr3:uid="{00000000-0010-0000-0000-000002000000}" name="ISIN" dataDxfId="10" dataCellStyle="Normal 5"/>
    <tableColumn id="3" xr3:uid="{00000000-0010-0000-0000-000003000000}" name="Days To Maturity" dataDxfId="9" dataCellStyle="Normal 5"/>
    <tableColumn id="4" xr3:uid="{00000000-0010-0000-0000-000004000000}" name="Offer" dataDxfId="8" dataCellStyle="Normal 5"/>
    <tableColumn id="7" xr3:uid="{00000000-0010-0000-0000-000007000000}" name="Amount Offered" dataDxfId="7" dataCellStyle="Normal 5"/>
    <tableColumn id="5" xr3:uid="{00000000-0010-0000-0000-000005000000}" name="Bid Received" dataDxfId="6" dataCellStyle="Normal 5"/>
    <tableColumn id="6" xr3:uid="{00000000-0010-0000-0000-000006000000}" name="Bid Accepted" dataDxfId="5" dataCellStyle="Normal 5"/>
    <tableColumn id="8" xr3:uid="{00000000-0010-0000-0000-000008000000}" name="WAYR Current" dataDxfId="4" dataCellStyle="Comma"/>
    <tableColumn id="10" xr3:uid="{00000000-0010-0000-0000-00000A000000}" name="WAYR Last" dataDxfId="3"/>
    <tableColumn id="11" xr3:uid="{00000000-0010-0000-0000-00000B000000}" name="Maturity date" dataDxfId="2" dataCellStyle="Normal 5">
      <calculatedColumnFormula array="1">_xlfn.IFS(Table13[[#This Row],[Days To Maturity]]=364,EDATE(Table13[[#This Row],[Date_d]],12),Table13[[#This Row],[Days To Maturity]]=182,EDATE(Table13[[#This Row],[Date_d]],6),Table13[[#This Row],[Days To Maturity]]=91,EDATE(Table13[[#This Row],[Date_d]],3))</calculatedColumnFormula>
    </tableColumn>
    <tableColumn id="12" xr3:uid="{00000000-0010-0000-0000-00000C000000}" name="Coupon" dataDxfId="1" dataCellStyle="Comma">
      <calculatedColumnFormula>IFERROR(Table13[[#This Row],[Bid Accepted]]*(Table13[[#This Row],[WAYR Current]]%/364*Table13[[#This Row],[Days To Maturity]]),0)</calculatedColumnFormula>
    </tableColumn>
    <tableColumn id="9" xr3:uid="{00000000-0010-0000-0000-000009000000}" name="(shortfall)/excess" dataDxfId="0" dataCellStyle="Normal 5">
      <calculatedColumnFormula>+Table13[[#This Row],[Bid Accepted]]-Table13[[#This Row],[Amount Offered]]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BB688"/>
  <sheetViews>
    <sheetView zoomScaleNormal="85" workbookViewId="0">
      <pane xSplit="1" ySplit="1" topLeftCell="B682" activePane="bottomRight" state="frozen"/>
      <selection pane="topRight" activeCell="B1" sqref="B1"/>
      <selection pane="bottomLeft" activeCell="A2" sqref="A2"/>
      <selection pane="bottomRight" activeCell="A689" sqref="A689:XFD712"/>
    </sheetView>
  </sheetViews>
  <sheetFormatPr defaultColWidth="8.83203125" defaultRowHeight="12" x14ac:dyDescent="0.2"/>
  <cols>
    <col min="1" max="1" width="20.5" style="40" customWidth="1"/>
    <col min="2" max="2" width="18.83203125" style="78" customWidth="1"/>
    <col min="3" max="3" width="9.1640625" style="78" bestFit="1" customWidth="1"/>
    <col min="4" max="4" width="8.83203125" style="78" customWidth="1"/>
    <col min="5" max="5" width="19.1640625" style="78" bestFit="1" customWidth="1"/>
    <col min="6" max="6" width="13.5" style="78" customWidth="1"/>
    <col min="7" max="7" width="23.1640625" style="78" customWidth="1"/>
    <col min="8" max="8" width="19.33203125" style="64" customWidth="1"/>
    <col min="9" max="9" width="27.1640625" style="78" customWidth="1"/>
    <col min="10" max="10" width="20.83203125" style="7" customWidth="1"/>
    <col min="11" max="11" width="12.83203125" style="78" customWidth="1"/>
    <col min="12" max="12" width="9.6640625" style="78" bestFit="1" customWidth="1"/>
    <col min="13" max="13" width="13.1640625" style="78" customWidth="1"/>
    <col min="14" max="14" width="17.83203125" style="78" bestFit="1" customWidth="1"/>
    <col min="15" max="15" width="15.83203125" style="77" bestFit="1" customWidth="1"/>
    <col min="16" max="16" width="10.83203125" style="77" bestFit="1" customWidth="1"/>
    <col min="17" max="17" width="9.5" style="77" bestFit="1" customWidth="1"/>
    <col min="18" max="19" width="10.5" style="77" bestFit="1" customWidth="1"/>
    <col min="20" max="20" width="9.1640625" style="77" bestFit="1" customWidth="1"/>
    <col min="21" max="21" width="11.83203125" style="78" customWidth="1"/>
    <col min="22" max="22" width="17.83203125" style="78" bestFit="1" customWidth="1"/>
    <col min="23" max="23" width="15.6640625" style="78" bestFit="1" customWidth="1"/>
    <col min="24" max="24" width="10.6640625" style="78" customWidth="1"/>
    <col min="25" max="25" width="8" style="78" bestFit="1" customWidth="1"/>
    <col min="26" max="26" width="10.33203125" style="78" bestFit="1" customWidth="1"/>
    <col min="27" max="31" width="10.33203125" style="78" customWidth="1"/>
    <col min="32" max="32" width="8.83203125" style="78" customWidth="1"/>
    <col min="33" max="33" width="8.83203125" style="13" customWidth="1"/>
    <col min="34" max="34" width="8.83203125" style="78" customWidth="1"/>
    <col min="35" max="36" width="9.6640625" style="78" bestFit="1" customWidth="1"/>
    <col min="37" max="39" width="8.83203125" style="78" customWidth="1"/>
    <col min="40" max="40" width="9.83203125" style="77" customWidth="1"/>
    <col min="41" max="41" width="8.83203125" style="77" customWidth="1"/>
    <col min="42" max="42" width="10" style="78" bestFit="1" customWidth="1"/>
    <col min="43" max="46" width="8.83203125" style="78" customWidth="1"/>
    <col min="47" max="47" width="10" style="64" bestFit="1" customWidth="1"/>
    <col min="48" max="49" width="8.83203125" style="78" customWidth="1"/>
    <col min="50" max="50" width="8.83203125" style="13" customWidth="1"/>
    <col min="51" max="57" width="8.83203125" style="78" customWidth="1"/>
    <col min="58" max="16384" width="8.83203125" style="78"/>
  </cols>
  <sheetData>
    <row r="1" spans="1:54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59" t="s">
        <v>10</v>
      </c>
      <c r="L1" s="5" t="s">
        <v>11</v>
      </c>
      <c r="M1" s="4" t="s">
        <v>12</v>
      </c>
      <c r="N1" s="5"/>
      <c r="O1" s="67"/>
      <c r="P1" s="79" t="s">
        <v>13</v>
      </c>
      <c r="Q1" s="80"/>
      <c r="R1" s="80"/>
      <c r="S1" s="80"/>
      <c r="T1" s="67"/>
      <c r="U1" s="81" t="s">
        <v>14</v>
      </c>
      <c r="V1" s="82"/>
      <c r="W1" s="82"/>
      <c r="X1" s="82"/>
      <c r="Y1" s="5"/>
      <c r="Z1" s="6" t="s">
        <v>15</v>
      </c>
      <c r="AA1" s="5"/>
      <c r="AB1" s="81" t="s">
        <v>16</v>
      </c>
      <c r="AC1" s="82"/>
      <c r="AD1" s="82"/>
      <c r="AE1" s="82"/>
      <c r="AF1" s="5"/>
      <c r="AG1" s="5"/>
      <c r="AH1" s="7">
        <v>364</v>
      </c>
      <c r="AN1" s="78"/>
      <c r="AP1" s="77"/>
      <c r="AQ1" s="5"/>
      <c r="AR1" s="5"/>
      <c r="AS1" s="6" t="s">
        <v>17</v>
      </c>
      <c r="AU1" s="78"/>
      <c r="AV1" s="64"/>
      <c r="AX1" s="78"/>
      <c r="AY1" s="7"/>
      <c r="BA1" s="8" t="s">
        <v>18</v>
      </c>
    </row>
    <row r="2" spans="1:54" x14ac:dyDescent="0.2">
      <c r="A2" s="34">
        <v>43103</v>
      </c>
      <c r="B2" s="5" t="s">
        <v>19</v>
      </c>
      <c r="C2" s="5">
        <v>364</v>
      </c>
      <c r="D2" s="5" t="s">
        <v>20</v>
      </c>
      <c r="E2" s="14">
        <v>15500</v>
      </c>
      <c r="F2" s="14">
        <v>26385</v>
      </c>
      <c r="G2" s="14">
        <v>11463</v>
      </c>
      <c r="H2" s="57">
        <v>8.9</v>
      </c>
      <c r="I2" s="57">
        <v>0</v>
      </c>
      <c r="J2" s="55">
        <f t="array" ref="J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43468</v>
      </c>
      <c r="K2" s="59">
        <f>IFERROR(Table13[[#This Row],[Bid Accepted]]*(Table13[[#This Row],[WAYR Current]]%/364*Table13[[#This Row],[Days To Maturity]]),0)</f>
        <v>1020.2070000000002</v>
      </c>
      <c r="L2" s="41">
        <f>+Table13[[#This Row],[Bid Accepted]]-Table13[[#This Row],[Amount Offered]]</f>
        <v>-4037</v>
      </c>
      <c r="M2" s="57" t="str">
        <f>+IF(Table13[[#This Row],[WAYR Last]]&gt;0,IF(Table13[[#This Row],[WAYR Current]]&gt;0,(Table13[[#This Row],[WAYR Current]]-Table13[[#This Row],[WAYR Last]]),""),"")</f>
        <v/>
      </c>
      <c r="N2" s="5"/>
      <c r="O2" s="67"/>
      <c r="P2" s="67">
        <v>364</v>
      </c>
      <c r="Q2" s="67">
        <v>182</v>
      </c>
      <c r="R2" s="67">
        <v>91</v>
      </c>
      <c r="S2" s="67" t="s">
        <v>21</v>
      </c>
      <c r="T2" s="67"/>
      <c r="U2" s="14">
        <v>364</v>
      </c>
      <c r="V2" s="14">
        <v>182</v>
      </c>
      <c r="W2" s="14">
        <v>91</v>
      </c>
      <c r="X2" s="14" t="s">
        <v>21</v>
      </c>
      <c r="Y2" s="5"/>
      <c r="Z2" s="14"/>
      <c r="AA2" s="5"/>
      <c r="AB2" s="14">
        <v>364</v>
      </c>
      <c r="AC2" s="14">
        <v>182</v>
      </c>
      <c r="AD2" s="14">
        <v>91</v>
      </c>
      <c r="AE2" s="14" t="s">
        <v>21</v>
      </c>
      <c r="AF2" s="14"/>
      <c r="AH2" s="13"/>
      <c r="AI2" s="78" t="s">
        <v>4</v>
      </c>
      <c r="AJ2" s="78" t="s">
        <v>5</v>
      </c>
      <c r="AK2" s="78" t="s">
        <v>6</v>
      </c>
      <c r="AL2" s="78" t="s">
        <v>22</v>
      </c>
      <c r="AM2" s="78" t="s">
        <v>23</v>
      </c>
      <c r="AN2" s="78" t="s">
        <v>18</v>
      </c>
      <c r="AO2" s="77" t="s">
        <v>24</v>
      </c>
      <c r="AP2" s="77"/>
      <c r="AQ2" s="15" t="s">
        <v>25</v>
      </c>
      <c r="AR2" s="13">
        <v>43465</v>
      </c>
      <c r="AS2" s="16">
        <v>91</v>
      </c>
      <c r="AT2" s="17">
        <v>182</v>
      </c>
      <c r="AU2" s="17">
        <v>364</v>
      </c>
      <c r="AV2" s="64" t="s">
        <v>21</v>
      </c>
      <c r="AW2" s="19"/>
      <c r="AX2" s="78"/>
      <c r="AY2" s="13"/>
    </row>
    <row r="3" spans="1:54" x14ac:dyDescent="0.2">
      <c r="A3" s="9">
        <v>43110</v>
      </c>
      <c r="B3" s="10" t="s">
        <v>26</v>
      </c>
      <c r="C3" s="10">
        <v>364</v>
      </c>
      <c r="D3" s="10" t="s">
        <v>20</v>
      </c>
      <c r="E3" s="14">
        <v>13500</v>
      </c>
      <c r="F3" s="18">
        <v>36809</v>
      </c>
      <c r="G3" s="18">
        <v>13500</v>
      </c>
      <c r="H3" s="33">
        <v>8.8000000000000007</v>
      </c>
      <c r="I3" s="33">
        <v>0</v>
      </c>
      <c r="J3" s="12">
        <f t="array" ref="J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43475</v>
      </c>
      <c r="K3" s="59">
        <f>IFERROR(Table13[[#This Row],[Bid Accepted]]*(Table13[[#This Row],[WAYR Current]]%/364*Table13[[#This Row],[Days To Maturity]]),0)</f>
        <v>1188.0000000000002</v>
      </c>
      <c r="L3" s="41">
        <f>+Table13[[#This Row],[Bid Accepted]]-Table13[[#This Row],[Amount Offered]]</f>
        <v>0</v>
      </c>
      <c r="M3" s="57" t="str">
        <f>+IF(Table13[[#This Row],[WAYR Last]]&gt;0,IF(Table13[[#This Row],[WAYR Current]]&gt;0,(Table13[[#This Row],[WAYR Current]]-Table13[[#This Row],[WAYR Last]]),""),"")</f>
        <v/>
      </c>
      <c r="N3" s="5"/>
      <c r="O3" s="67">
        <v>43466</v>
      </c>
      <c r="P3" s="67">
        <f>SUMIFS(Table13[Bid Accepted],Table13[Maturity date],"&gt;="&amp;$O3,Table13[Maturity date],"&lt;="&amp;EOMONTH($O3,0),Table13[Days To Maturity],P$2)</f>
        <v>57983</v>
      </c>
      <c r="Q3" s="67">
        <f>SUMIFS(Table13[Bid Accepted],Table13[Maturity date],"&gt;="&amp;$O3,Table13[Maturity date],"&lt;="&amp;EOMONTH($O3,0),Table13[Days To Maturity],Q$2)</f>
        <v>6248</v>
      </c>
      <c r="R3" s="67">
        <f>SUMIFS(Table13[Bid Accepted],Table13[Maturity date],"&gt;="&amp;$O3,Table13[Maturity date],"&lt;="&amp;EOMONTH($O3,0),Table13[Days To Maturity],R$2)</f>
        <v>7371</v>
      </c>
      <c r="S3" s="67">
        <f t="shared" ref="S3:S42" si="0">SUM(P3:R3)</f>
        <v>71602</v>
      </c>
      <c r="T3" s="67"/>
      <c r="U3" s="14">
        <f>SUMIFS(Table13[Bid Accepted],Table13[Date_d],"&gt;="&amp;O3,Table13[Date_d],"&lt;="&amp;EOMONTH(O3,0),Table13[Days To Maturity],U$2)</f>
        <v>86295</v>
      </c>
      <c r="V3" s="14">
        <f>SUMIFS(Table13[Bid Accepted],Table13[Date_d],"&gt;="&amp;O3,Table13[Date_d],"&lt;="&amp;EOMONTH(O3,0),Table13[Days To Maturity],V$2)</f>
        <v>19705</v>
      </c>
      <c r="W3" s="14">
        <f>SUMIFS(Table13[Bid Accepted],Table13[Date_d],"&gt;="&amp;O3,Table13[Date_d],"&lt;="&amp;EOMONTH(O3,0),Table13[Days To Maturity],W$2)</f>
        <v>0</v>
      </c>
      <c r="X3" s="14">
        <f t="shared" ref="X3:X29" si="1">SUM(U3:W3)</f>
        <v>106000</v>
      </c>
      <c r="Y3" s="14"/>
      <c r="Z3" s="14">
        <f t="shared" ref="Z3:Z29" si="2">X3-S3</f>
        <v>34398</v>
      </c>
      <c r="AA3" s="5"/>
      <c r="AB3" s="14">
        <f>SUMIFS(Table13[Coupon],Table13[Maturity date],"&gt;="&amp;$O3,Table13[Maturity date],"&lt;="&amp;EOMONTH($O3,0),Table13[Days To Maturity],AB$2)</f>
        <v>5142.8235000000004</v>
      </c>
      <c r="AC3" s="14">
        <f>SUMIFS(Table13[Coupon],Table13[Maturity date],"&gt;="&amp;$O3,Table13[Maturity date],"&lt;="&amp;EOMONTH($O3,0),Table13[Days To Maturity],AC$2)</f>
        <v>273.49284999999998</v>
      </c>
      <c r="AD3" s="14">
        <f>SUMIFS(Table13[Coupon],Table13[Maturity date],"&gt;="&amp;$O3,Table13[Maturity date],"&lt;="&amp;EOMONTH($O3,0),Table13[Days To Maturity],AD$2)</f>
        <v>172.6927</v>
      </c>
      <c r="AE3" s="14">
        <f t="shared" ref="AE3:AE38" si="3">SUM(AB3:AD3)</f>
        <v>5589.0090499999997</v>
      </c>
      <c r="AF3" s="14"/>
      <c r="AH3" s="13"/>
      <c r="AN3" s="78"/>
      <c r="AP3" s="77"/>
      <c r="AQ3" s="15"/>
      <c r="AR3" s="13"/>
      <c r="AS3" s="16" t="s">
        <v>27</v>
      </c>
      <c r="AT3" s="17" t="s">
        <v>27</v>
      </c>
      <c r="AU3" s="17" t="s">
        <v>27</v>
      </c>
      <c r="AV3" s="64"/>
      <c r="AW3" s="19"/>
      <c r="AX3" s="78"/>
      <c r="AY3" s="13"/>
      <c r="AZ3" s="78">
        <v>91</v>
      </c>
      <c r="BA3" s="78">
        <v>182</v>
      </c>
      <c r="BB3" s="78">
        <v>364</v>
      </c>
    </row>
    <row r="4" spans="1:54" x14ac:dyDescent="0.2">
      <c r="A4" s="34">
        <v>43117</v>
      </c>
      <c r="B4" s="10" t="s">
        <v>28</v>
      </c>
      <c r="C4" s="10">
        <v>364</v>
      </c>
      <c r="D4" s="10" t="s">
        <v>20</v>
      </c>
      <c r="E4" s="14">
        <v>12500</v>
      </c>
      <c r="F4" s="18">
        <v>18864</v>
      </c>
      <c r="G4" s="18">
        <v>8327</v>
      </c>
      <c r="H4" s="57">
        <v>8.85</v>
      </c>
      <c r="I4" s="57">
        <v>0</v>
      </c>
      <c r="J4" s="12">
        <f t="array" ref="J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43482</v>
      </c>
      <c r="K4" s="59">
        <f>IFERROR(Table13[[#This Row],[Bid Accepted]]*(Table13[[#This Row],[WAYR Current]]%/364*Table13[[#This Row],[Days To Maturity]]),0)</f>
        <v>736.93949999999995</v>
      </c>
      <c r="L4" s="41">
        <f>+Table13[[#This Row],[Bid Accepted]]-Table13[[#This Row],[Amount Offered]]</f>
        <v>-4173</v>
      </c>
      <c r="M4" s="57" t="str">
        <f>+IF(Table13[[#This Row],[WAYR Last]]&gt;0,IF(Table13[[#This Row],[WAYR Current]]&gt;0,(Table13[[#This Row],[WAYR Current]]-Table13[[#This Row],[WAYR Last]]),""),"")</f>
        <v/>
      </c>
      <c r="N4" s="5"/>
      <c r="O4" s="67">
        <v>43497</v>
      </c>
      <c r="P4" s="67">
        <f>SUMIFS(Table13[Bid Accepted],Table13[Maturity date],"&gt;="&amp;$O4,Table13[Maturity date],"&lt;="&amp;EOMONTH($O4,0),Table13[Days To Maturity],P$2)</f>
        <v>72969</v>
      </c>
      <c r="Q4" s="67">
        <f>SUMIFS(Table13[Bid Accepted],Table13[Maturity date],"&gt;="&amp;$O4,Table13[Maturity date],"&lt;="&amp;EOMONTH($O4,0),Table13[Days To Maturity],Q$2)</f>
        <v>8620</v>
      </c>
      <c r="R4" s="67">
        <f>SUMIFS(Table13[Bid Accepted],Table13[Maturity date],"&gt;="&amp;$O4,Table13[Maturity date],"&lt;="&amp;EOMONTH($O4,0),Table13[Days To Maturity],R$2)</f>
        <v>9896</v>
      </c>
      <c r="S4" s="67">
        <f t="shared" si="0"/>
        <v>91485</v>
      </c>
      <c r="T4" s="67"/>
      <c r="U4" s="14">
        <f>SUMIFS(Table13[Bid Accepted],Table13[Date_d],"&gt;="&amp;O4,Table13[Date_d],"&lt;="&amp;EOMONTH(O4,0),Table13[Days To Maturity],U$2)</f>
        <v>86136</v>
      </c>
      <c r="V4" s="14">
        <f>SUMIFS(Table13[Bid Accepted],Table13[Date_d],"&gt;="&amp;O4,Table13[Date_d],"&lt;="&amp;EOMONTH(O4,0),Table13[Days To Maturity],V$2)</f>
        <v>3513</v>
      </c>
      <c r="W4" s="14">
        <f>SUMIFS(Table13[Bid Accepted],Table13[Date_d],"&gt;="&amp;O4,Table13[Date_d],"&lt;="&amp;EOMONTH(O4,0),Table13[Days To Maturity],W$2)</f>
        <v>1851</v>
      </c>
      <c r="X4" s="14">
        <f t="shared" si="1"/>
        <v>91500</v>
      </c>
      <c r="Y4" s="14"/>
      <c r="Z4" s="14">
        <f t="shared" si="2"/>
        <v>15</v>
      </c>
      <c r="AA4" s="5"/>
      <c r="AB4" s="14">
        <f>SUMIFS(Table13[Coupon],Table13[Maturity date],"&gt;="&amp;$O4,Table13[Maturity date],"&lt;="&amp;EOMONTH($O4,0),Table13[Days To Maturity],AB$2)</f>
        <v>6826.8171999999995</v>
      </c>
      <c r="AC4" s="14">
        <f>SUMIFS(Table13[Coupon],Table13[Maturity date],"&gt;="&amp;$O4,Table13[Maturity date],"&lt;="&amp;EOMONTH($O4,0),Table13[Days To Maturity],AC$2)</f>
        <v>372.37</v>
      </c>
      <c r="AD4" s="14">
        <f>SUMIFS(Table13[Coupon],Table13[Maturity date],"&gt;="&amp;$O4,Table13[Maturity date],"&lt;="&amp;EOMONTH($O4,0),Table13[Days To Maturity],AD$2)</f>
        <v>244.99599999999998</v>
      </c>
      <c r="AE4" s="14">
        <f t="shared" si="3"/>
        <v>7444.1831999999995</v>
      </c>
      <c r="AF4" s="14"/>
      <c r="AH4" s="13">
        <f t="array" ref="AH4:AH253">_xlfn.UNIQUE(Table13[Date_d])</f>
        <v>43103</v>
      </c>
      <c r="AI4" s="78">
        <f t="array" ref="AI4:AI253">SUMIFS(Table13[Amount Offered],Table13[Date_d],_xlfn.ANCHORARRAY(AH4))</f>
        <v>15500</v>
      </c>
      <c r="AJ4" s="78">
        <f t="array" ref="AJ4:AJ253">SUMIFS(Table13[Bid Received],Table13[Date_d],_xlfn.ANCHORARRAY(AH4))</f>
        <v>26385</v>
      </c>
      <c r="AK4" s="78">
        <f t="array" ref="AK4:AK253">SUMIFS(Table13[Bid Accepted],Table13[Date_d],_xlfn.ANCHORARRAY(AH4))</f>
        <v>11463</v>
      </c>
      <c r="AL4" s="78">
        <f t="array" ref="AL4:AL253">_xlfn.ANCHORARRAY(AJ4)-_xlfn.ANCHORARRAY(AI4)</f>
        <v>10885</v>
      </c>
      <c r="AM4" s="78">
        <f t="array" ref="AM4:AM253">_xlfn.ANCHORARRAY(AK4)-_xlfn.ANCHORARRAY(AI4)</f>
        <v>-4037</v>
      </c>
      <c r="AN4" s="78">
        <f t="array" ref="AN4:AN253">SUMIFS(Table13[WAYR Current],Table13[Date_d],_xlfn.ANCHORARRAY(AH4),Table13[Days To Maturity],AH1)</f>
        <v>8.9</v>
      </c>
      <c r="AO4" s="77">
        <f t="array" ref="AO4:AO253">_xlfn.ANCHORARRAY(AM4)/_xlfn.ANCHORARRAY(AI4)</f>
        <v>-0.26045161290322583</v>
      </c>
      <c r="AP4" s="77"/>
      <c r="AQ4" s="15"/>
      <c r="AR4" s="13">
        <f t="array" ref="AR4:AR203">_xlfn._xlws.FILTER(Table13[Date_d],(Table13[Days To Maturity]=AS2)*(Table13[Date_d]&gt;$AR$2))</f>
        <v>43467</v>
      </c>
      <c r="AS4" s="16" t="e">
        <f t="array" ref="AS4:AS203">_xlfn._xlws.FILTER((Table13[Bid Received]/Table13[Amount Offered]),(Table13[Days To Maturity]=AS2)*(Table13[Date_d]&gt;$AR$2))</f>
        <v>#VALUE!</v>
      </c>
      <c r="AT4" s="17">
        <f t="array" ref="AT4:AT203">_xlfn._xlws.FILTER((Table13[Bid Received]/Table13[Amount Offered]),(Table13[Days To Maturity]=AT2)*(Table13[Date_d]&gt;$AR$2))</f>
        <v>2.0714285714285716</v>
      </c>
      <c r="AU4" s="17">
        <f t="array" ref="AU4:AU203">_xlfn._xlws.FILTER((Table13[Bid Received]/Table13[Amount Offered]),(Table13[Days To Maturity]=AU2)*(Table13[Date_d]&gt;$AR$2))</f>
        <v>6</v>
      </c>
      <c r="AV4" s="64">
        <f t="array" ref="AV4:AV203">SUMIFS(Table13[Bid Received],Table13[Date_d],_xlfn.ANCHORARRAY(AR4),Table13[Date_d],"&gt;"&amp;AR2)/SUMIFS(Table13[Amount Offered],Table13[Date_d],_xlfn.ANCHORARRAY(AR4),Table13[Date_d],"&gt;"&amp;AR2)</f>
        <v>4.225806451612903</v>
      </c>
      <c r="AW4" s="19"/>
      <c r="AX4" s="78"/>
      <c r="AY4" s="13">
        <f t="array" ref="AY4:AY253">_xlfn.UNIQUE(Table13[Date_d])</f>
        <v>43103</v>
      </c>
      <c r="AZ4" s="78" t="str">
        <f t="array" ref="AZ4">INDEX(_xlfn._xlws.FILTER(Table13[],Table13[Days To Maturity]=AZ$3),MATCH($AY4,Table13[Date_d],0),8)</f>
        <v xml:space="preserve"> -   </v>
      </c>
      <c r="BA4" s="78">
        <f t="array" ref="BA4">INDEX(_xlfn._xlws.FILTER(Table13[],Table13[Days To Maturity]=BA$3),MATCH($AY4,Table13[Date_d],0),8)</f>
        <v>8.85</v>
      </c>
      <c r="BB4" s="78">
        <f t="array" ref="BB4">INDEX(_xlfn._xlws.FILTER(Table13[],Table13[Days To Maturity]=BB$3),MATCH($AY4,Table13[Date_d],0),8)</f>
        <v>8.9</v>
      </c>
    </row>
    <row r="5" spans="1:54" x14ac:dyDescent="0.2">
      <c r="A5" s="9">
        <v>43124</v>
      </c>
      <c r="B5" s="10" t="s">
        <v>29</v>
      </c>
      <c r="C5" s="10">
        <v>364</v>
      </c>
      <c r="D5" s="10" t="s">
        <v>20</v>
      </c>
      <c r="E5" s="14">
        <v>14500</v>
      </c>
      <c r="F5" s="14">
        <v>30138</v>
      </c>
      <c r="G5" s="14">
        <v>9159</v>
      </c>
      <c r="H5" s="33">
        <v>8.9</v>
      </c>
      <c r="I5" s="33">
        <v>8.9</v>
      </c>
      <c r="J5" s="32">
        <f t="array" ref="J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43489</v>
      </c>
      <c r="K5" s="59">
        <f>IFERROR(Table13[[#This Row],[Bid Accepted]]*(Table13[[#This Row],[WAYR Current]]%/364*Table13[[#This Row],[Days To Maturity]]),0)</f>
        <v>815.15100000000018</v>
      </c>
      <c r="L5" s="41">
        <f>+Table13[[#This Row],[Bid Accepted]]-Table13[[#This Row],[Amount Offered]]</f>
        <v>-5341</v>
      </c>
      <c r="M5" s="57">
        <f>+IF(Table13[[#This Row],[WAYR Last]]&gt;0,IF(Table13[[#This Row],[WAYR Current]]&gt;0,(Table13[[#This Row],[WAYR Current]]-Table13[[#This Row],[WAYR Last]]),""),"")</f>
        <v>0</v>
      </c>
      <c r="N5" s="5"/>
      <c r="O5" s="67">
        <v>43525</v>
      </c>
      <c r="P5" s="67">
        <f>SUMIFS(Table13[Bid Accepted],Table13[Maturity date],"&gt;="&amp;$O5,Table13[Maturity date],"&lt;="&amp;EOMONTH($O5,0),Table13[Days To Maturity],P$2)</f>
        <v>92169</v>
      </c>
      <c r="Q5" s="67">
        <f>SUMIFS(Table13[Bid Accepted],Table13[Maturity date],"&gt;="&amp;$O5,Table13[Maturity date],"&lt;="&amp;EOMONTH($O5,0),Table13[Days To Maturity],Q$2)</f>
        <v>0</v>
      </c>
      <c r="R5" s="67">
        <f>SUMIFS(Table13[Bid Accepted],Table13[Maturity date],"&gt;="&amp;$O5,Table13[Maturity date],"&lt;="&amp;EOMONTH($O5,0),Table13[Days To Maturity],R$2)</f>
        <v>0</v>
      </c>
      <c r="S5" s="67">
        <f t="shared" si="0"/>
        <v>92169</v>
      </c>
      <c r="T5" s="67"/>
      <c r="U5" s="14">
        <f>SUMIFS(Table13[Bid Accepted],Table13[Date_d],"&gt;="&amp;O5,Table13[Date_d],"&lt;="&amp;EOMONTH(O5,0),Table13[Days To Maturity],U$2)</f>
        <v>85995</v>
      </c>
      <c r="V5" s="14">
        <f>SUMIFS(Table13[Bid Accepted],Table13[Date_d],"&gt;="&amp;O5,Table13[Date_d],"&lt;="&amp;EOMONTH(O5,0),Table13[Days To Maturity],V$2)</f>
        <v>4985</v>
      </c>
      <c r="W5" s="14">
        <f>SUMIFS(Table13[Bid Accepted],Table13[Date_d],"&gt;="&amp;O5,Table13[Date_d],"&lt;="&amp;EOMONTH(O5,0),Table13[Days To Maturity],W$2)</f>
        <v>6020</v>
      </c>
      <c r="X5" s="14">
        <f t="shared" si="1"/>
        <v>97000</v>
      </c>
      <c r="Y5" s="14"/>
      <c r="Z5" s="14">
        <f t="shared" si="2"/>
        <v>4831</v>
      </c>
      <c r="AA5" s="5"/>
      <c r="AB5" s="14">
        <f>SUMIFS(Table13[Coupon],Table13[Maturity date],"&gt;="&amp;$O5,Table13[Maturity date],"&lt;="&amp;EOMONTH($O5,0),Table13[Days To Maturity],AB$2)</f>
        <v>8920.5754000000015</v>
      </c>
      <c r="AC5" s="14">
        <f>SUMIFS(Table13[Coupon],Table13[Maturity date],"&gt;="&amp;$O5,Table13[Maturity date],"&lt;="&amp;EOMONTH($O5,0),Table13[Days To Maturity],AC$2)</f>
        <v>0</v>
      </c>
      <c r="AD5" s="14">
        <f>SUMIFS(Table13[Coupon],Table13[Maturity date],"&gt;="&amp;$O5,Table13[Maturity date],"&lt;="&amp;EOMONTH($O5,0),Table13[Days To Maturity],AD$2)</f>
        <v>0</v>
      </c>
      <c r="AE5" s="14">
        <f t="shared" si="3"/>
        <v>8920.5754000000015</v>
      </c>
      <c r="AF5" s="14"/>
      <c r="AH5" s="13">
        <v>43110</v>
      </c>
      <c r="AI5" s="78">
        <v>13500</v>
      </c>
      <c r="AJ5" s="78">
        <v>36809</v>
      </c>
      <c r="AK5" s="78">
        <v>13500</v>
      </c>
      <c r="AL5" s="78">
        <v>23309</v>
      </c>
      <c r="AM5" s="78">
        <v>0</v>
      </c>
      <c r="AN5" s="78">
        <v>8.8000000000000007</v>
      </c>
      <c r="AO5" s="77">
        <v>0</v>
      </c>
      <c r="AP5" s="77"/>
      <c r="AQ5" s="15"/>
      <c r="AR5" s="13">
        <v>43474</v>
      </c>
      <c r="AS5" s="16" t="e">
        <v>#VALUE!</v>
      </c>
      <c r="AT5" s="17">
        <v>1.7437499999999999</v>
      </c>
      <c r="AU5" s="17">
        <v>3.4906666666666668</v>
      </c>
      <c r="AV5" s="64">
        <v>2.7919</v>
      </c>
      <c r="AW5" s="19"/>
      <c r="AX5" s="78"/>
      <c r="AY5" s="13">
        <v>43110</v>
      </c>
      <c r="AZ5" s="78">
        <f t="array" ref="AZ5">INDEX(_xlfn._xlws.FILTER(Table13[],Table13[Days To Maturity]=AZ$3),MATCH($AY5,Table13[Date_d],0),8)</f>
        <v>9.2799999999999994</v>
      </c>
      <c r="BA5" s="78" t="str">
        <f t="array" ref="BA5">INDEX(_xlfn._xlws.FILTER(Table13[],Table13[Days To Maturity]=BA$3),MATCH($AY5,Table13[Date_d],0),8)</f>
        <v xml:space="preserve"> -   </v>
      </c>
      <c r="BB5" s="78">
        <f t="array" ref="BB5">INDEX(_xlfn._xlws.FILTER(Table13[],Table13[Days To Maturity]=BB$3),MATCH($AY5,Table13[Date_d],0),8)</f>
        <v>8.8000000000000007</v>
      </c>
    </row>
    <row r="6" spans="1:54" x14ac:dyDescent="0.2">
      <c r="A6" s="34">
        <v>43130</v>
      </c>
      <c r="B6" s="35" t="s">
        <v>30</v>
      </c>
      <c r="C6" s="35">
        <v>364</v>
      </c>
      <c r="D6" s="35" t="s">
        <v>20</v>
      </c>
      <c r="E6" s="36">
        <v>17000</v>
      </c>
      <c r="F6" s="36">
        <v>44468</v>
      </c>
      <c r="G6" s="36">
        <v>15534</v>
      </c>
      <c r="H6" s="57">
        <v>8.9</v>
      </c>
      <c r="I6" s="57">
        <v>8.8000000000000007</v>
      </c>
      <c r="J6" s="32">
        <f t="array" ref="J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43495</v>
      </c>
      <c r="K6" s="59">
        <f>IFERROR(Table13[[#This Row],[Bid Accepted]]*(Table13[[#This Row],[WAYR Current]]%/364*Table13[[#This Row],[Days To Maturity]]),0)</f>
        <v>1382.5260000000003</v>
      </c>
      <c r="L6" s="41">
        <f>+Table13[[#This Row],[Bid Accepted]]-Table13[[#This Row],[Amount Offered]]</f>
        <v>-1466</v>
      </c>
      <c r="M6" s="57">
        <f>+IF(Table13[[#This Row],[WAYR Last]]&gt;0,IF(Table13[[#This Row],[WAYR Current]]&gt;0,(Table13[[#This Row],[WAYR Current]]-Table13[[#This Row],[WAYR Last]]),""),"")</f>
        <v>9.9999999999999645E-2</v>
      </c>
      <c r="N6" s="5"/>
      <c r="O6" s="67">
        <v>43556</v>
      </c>
      <c r="P6" s="67">
        <f>SUMIFS(Table13[Bid Accepted],Table13[Maturity date],"&gt;="&amp;$O6,Table13[Maturity date],"&lt;="&amp;EOMONTH($O6,0),Table13[Days To Maturity],P$2)</f>
        <v>81000</v>
      </c>
      <c r="Q6" s="67">
        <f>SUMIFS(Table13[Bid Accepted],Table13[Maturity date],"&gt;="&amp;$O6,Table13[Maturity date],"&lt;="&amp;EOMONTH($O6,0),Table13[Days To Maturity],Q$2)</f>
        <v>300</v>
      </c>
      <c r="R6" s="67">
        <f>SUMIFS(Table13[Bid Accepted],Table13[Maturity date],"&gt;="&amp;$O6,Table13[Maturity date],"&lt;="&amp;EOMONTH($O6,0),Table13[Days To Maturity],R$2)</f>
        <v>0</v>
      </c>
      <c r="S6" s="67">
        <f t="shared" si="0"/>
        <v>81300</v>
      </c>
      <c r="T6" s="67"/>
      <c r="U6" s="14">
        <f>SUMIFS(Table13[Bid Accepted],Table13[Date_d],"&gt;="&amp;O6,Table13[Date_d],"&lt;="&amp;EOMONTH(O6,0),Table13[Days To Maturity],U$2)</f>
        <v>84000</v>
      </c>
      <c r="V6" s="14">
        <f>SUMIFS(Table13[Bid Accepted],Table13[Date_d],"&gt;="&amp;O6,Table13[Date_d],"&lt;="&amp;EOMONTH(O6,0),Table13[Days To Maturity],V$2)</f>
        <v>25000</v>
      </c>
      <c r="W6" s="14">
        <f>SUMIFS(Table13[Bid Accepted],Table13[Date_d],"&gt;="&amp;O6,Table13[Date_d],"&lt;="&amp;EOMONTH(O6,0),Table13[Days To Maturity],W$2)</f>
        <v>20000</v>
      </c>
      <c r="X6" s="14">
        <f t="shared" si="1"/>
        <v>129000</v>
      </c>
      <c r="Y6" s="5"/>
      <c r="Z6" s="14">
        <f t="shared" si="2"/>
        <v>47700</v>
      </c>
      <c r="AA6" s="5"/>
      <c r="AB6" s="14">
        <f>SUMIFS(Table13[Coupon],Table13[Maturity date],"&gt;="&amp;$O6,Table13[Maturity date],"&lt;="&amp;EOMONTH($O6,0),Table13[Days To Maturity],AB$2)</f>
        <v>7891.1</v>
      </c>
      <c r="AC6" s="14">
        <f>SUMIFS(Table13[Coupon],Table13[Maturity date],"&gt;="&amp;$O6,Table13[Maturity date],"&lt;="&amp;EOMONTH($O6,0),Table13[Days To Maturity],AC$2)</f>
        <v>14.625</v>
      </c>
      <c r="AD6" s="14">
        <f>SUMIFS(Table13[Coupon],Table13[Maturity date],"&gt;="&amp;$O6,Table13[Maturity date],"&lt;="&amp;EOMONTH($O6,0),Table13[Days To Maturity],AD$2)</f>
        <v>0</v>
      </c>
      <c r="AE6" s="14">
        <f t="shared" si="3"/>
        <v>7905.7250000000004</v>
      </c>
      <c r="AF6" s="14"/>
      <c r="AH6" s="13">
        <v>43117</v>
      </c>
      <c r="AI6" s="78">
        <v>12500</v>
      </c>
      <c r="AJ6" s="78">
        <v>18864</v>
      </c>
      <c r="AK6" s="78">
        <v>8327</v>
      </c>
      <c r="AL6" s="78">
        <v>6364</v>
      </c>
      <c r="AM6" s="78">
        <v>-4173</v>
      </c>
      <c r="AN6" s="78">
        <v>8.85</v>
      </c>
      <c r="AO6" s="77">
        <v>-0.33384000000000003</v>
      </c>
      <c r="AP6" s="77"/>
      <c r="AQ6" s="15"/>
      <c r="AR6" s="13">
        <v>43481</v>
      </c>
      <c r="AS6" s="16" t="e">
        <v>#VALUE!</v>
      </c>
      <c r="AT6" s="17">
        <v>1.9212</v>
      </c>
      <c r="AU6" s="17">
        <v>3.1586875000000001</v>
      </c>
      <c r="AV6" s="64">
        <v>2.6827307692307691</v>
      </c>
      <c r="AW6" s="19"/>
      <c r="AX6" s="78"/>
      <c r="AY6" s="13">
        <v>43117</v>
      </c>
      <c r="AZ6" s="78">
        <f t="array" ref="AZ6">INDEX(_xlfn._xlws.FILTER(Table13[],Table13[Days To Maturity]=AZ$3),MATCH($AY6,Table13[Date_d],0),8)</f>
        <v>9.48</v>
      </c>
      <c r="BA6" s="78">
        <f t="array" ref="BA6">INDEX(_xlfn._xlws.FILTER(Table13[],Table13[Days To Maturity]=BA$3),MATCH($AY6,Table13[Date_d],0),8)</f>
        <v>8.75</v>
      </c>
      <c r="BB6" s="78">
        <f t="array" ref="BB6">INDEX(_xlfn._xlws.FILTER(Table13[],Table13[Days To Maturity]=BB$3),MATCH($AY6,Table13[Date_d],0),8)</f>
        <v>8.85</v>
      </c>
    </row>
    <row r="7" spans="1:54" x14ac:dyDescent="0.2">
      <c r="A7" s="9">
        <v>43138</v>
      </c>
      <c r="B7" s="10" t="s">
        <v>31</v>
      </c>
      <c r="C7" s="10">
        <v>364</v>
      </c>
      <c r="D7" s="10" t="s">
        <v>20</v>
      </c>
      <c r="E7" s="14">
        <v>14500</v>
      </c>
      <c r="F7" s="18">
        <v>32720</v>
      </c>
      <c r="G7" s="18">
        <v>18713</v>
      </c>
      <c r="H7" s="37">
        <v>8.94</v>
      </c>
      <c r="I7" s="33">
        <v>8.85</v>
      </c>
      <c r="J7" s="12">
        <f t="array" ref="J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43503</v>
      </c>
      <c r="K7" s="66">
        <f>IFERROR(Table13[[#This Row],[Bid Accepted]]*(Table13[[#This Row],[WAYR Current]]%/364*Table13[[#This Row],[Days To Maturity]]),0)</f>
        <v>1672.9422000000002</v>
      </c>
      <c r="L7" s="41">
        <f>+Table13[[#This Row],[Bid Accepted]]-Table13[[#This Row],[Amount Offered]]</f>
        <v>4213</v>
      </c>
      <c r="M7" s="57">
        <f>+IF(Table13[[#This Row],[WAYR Last]]&gt;0,IF(Table13[[#This Row],[WAYR Current]]&gt;0,(Table13[[#This Row],[WAYR Current]]-Table13[[#This Row],[WAYR Last]]),""),"")</f>
        <v>8.9999999999999858E-2</v>
      </c>
      <c r="N7" s="5"/>
      <c r="O7" s="67">
        <v>43586</v>
      </c>
      <c r="P7" s="67">
        <f>SUMIFS(Table13[Bid Accepted],Table13[Maturity date],"&gt;="&amp;$O7,Table13[Maturity date],"&lt;="&amp;EOMONTH($O7,0),Table13[Days To Maturity],P$2)</f>
        <v>94915</v>
      </c>
      <c r="Q7" s="67">
        <f>SUMIFS(Table13[Bid Accepted],Table13[Maturity date],"&gt;="&amp;$O7,Table13[Maturity date],"&lt;="&amp;EOMONTH($O7,0),Table13[Days To Maturity],Q$2)</f>
        <v>500</v>
      </c>
      <c r="R7" s="67">
        <f>SUMIFS(Table13[Bid Accepted],Table13[Maturity date],"&gt;="&amp;$O7,Table13[Maturity date],"&lt;="&amp;EOMONTH($O7,0),Table13[Days To Maturity],R$2)</f>
        <v>1851</v>
      </c>
      <c r="S7" s="67">
        <f t="shared" si="0"/>
        <v>97266</v>
      </c>
      <c r="T7" s="67"/>
      <c r="U7" s="14">
        <f>SUMIFS(Table13[Bid Accepted],Table13[Date_d],"&gt;="&amp;O7,Table13[Date_d],"&lt;="&amp;EOMONTH(O7,0),Table13[Days To Maturity],U$2)</f>
        <v>56500</v>
      </c>
      <c r="V7" s="14">
        <f>SUMIFS(Table13[Bid Accepted],Table13[Date_d],"&gt;="&amp;O7,Table13[Date_d],"&lt;="&amp;EOMONTH(O7,0),Table13[Days To Maturity],V$2)</f>
        <v>18500</v>
      </c>
      <c r="W7" s="14">
        <f>SUMIFS(Table13[Bid Accepted],Table13[Date_d],"&gt;="&amp;O7,Table13[Date_d],"&lt;="&amp;EOMONTH(O7,0),Table13[Days To Maturity],W$2)</f>
        <v>8000</v>
      </c>
      <c r="X7" s="14">
        <f t="shared" si="1"/>
        <v>83000</v>
      </c>
      <c r="Y7" s="14"/>
      <c r="Z7" s="14">
        <f t="shared" si="2"/>
        <v>-14266</v>
      </c>
      <c r="AA7" s="5"/>
      <c r="AB7" s="14">
        <f>SUMIFS(Table13[Coupon],Table13[Maturity date],"&gt;="&amp;$O7,Table13[Maturity date],"&lt;="&amp;EOMONTH($O7,0),Table13[Days To Maturity],AB$2)</f>
        <v>9169.1355000000003</v>
      </c>
      <c r="AC7" s="14">
        <f>SUMIFS(Table13[Coupon],Table13[Maturity date],"&gt;="&amp;$O7,Table13[Maturity date],"&lt;="&amp;EOMONTH($O7,0),Table13[Days To Maturity],AC$2)</f>
        <v>24.974999999999998</v>
      </c>
      <c r="AD7" s="14">
        <f>SUMIFS(Table13[Coupon],Table13[Maturity date],"&gt;="&amp;$O7,Table13[Maturity date],"&lt;="&amp;EOMONTH($O7,0),Table13[Days To Maturity],AD$2)</f>
        <v>44.192625</v>
      </c>
      <c r="AE7" s="14">
        <f t="shared" si="3"/>
        <v>9238.3031250000004</v>
      </c>
      <c r="AF7" s="14"/>
      <c r="AH7" s="13">
        <v>43124</v>
      </c>
      <c r="AI7" s="78">
        <v>14500</v>
      </c>
      <c r="AJ7" s="78">
        <v>30138</v>
      </c>
      <c r="AK7" s="78">
        <v>9159</v>
      </c>
      <c r="AL7" s="78">
        <v>15638</v>
      </c>
      <c r="AM7" s="78">
        <v>-5341</v>
      </c>
      <c r="AN7" s="78">
        <v>8.9</v>
      </c>
      <c r="AO7" s="77">
        <v>-0.3683448275862069</v>
      </c>
      <c r="AP7" s="77"/>
      <c r="AQ7" s="15"/>
      <c r="AR7" s="13">
        <v>43488</v>
      </c>
      <c r="AS7" s="16" t="e">
        <v>#VALUE!</v>
      </c>
      <c r="AT7" s="17">
        <v>1.5124</v>
      </c>
      <c r="AU7" s="17">
        <v>2.7394594594594595</v>
      </c>
      <c r="AV7" s="64">
        <v>2.4783829787234044</v>
      </c>
      <c r="AW7" s="19"/>
      <c r="AX7" s="78"/>
      <c r="AY7" s="13">
        <v>43124</v>
      </c>
      <c r="AZ7" s="78" t="str">
        <f t="array" ref="AZ7">INDEX(_xlfn._xlws.FILTER(Table13[],Table13[Days To Maturity]=AZ$3),MATCH($AY7,Table13[Date_d],0),8)</f>
        <v xml:space="preserve"> -   </v>
      </c>
      <c r="BA7" s="78">
        <f t="array" ref="BA7">INDEX(_xlfn._xlws.FILTER(Table13[],Table13[Days To Maturity]=BA$3),MATCH($AY7,Table13[Date_d],0),8)</f>
        <v>8.74</v>
      </c>
      <c r="BB7" s="78">
        <f t="array" ref="BB7">INDEX(_xlfn._xlws.FILTER(Table13[],Table13[Days To Maturity]=BB$3),MATCH($AY7,Table13[Date_d],0),8)</f>
        <v>8.9</v>
      </c>
    </row>
    <row r="8" spans="1:54" x14ac:dyDescent="0.2">
      <c r="A8" s="34">
        <v>43145</v>
      </c>
      <c r="B8" s="35" t="s">
        <v>32</v>
      </c>
      <c r="C8" s="10">
        <v>364</v>
      </c>
      <c r="D8" s="10" t="s">
        <v>20</v>
      </c>
      <c r="E8" s="14">
        <v>13000</v>
      </c>
      <c r="F8" s="18">
        <v>19033</v>
      </c>
      <c r="G8" s="18">
        <v>9010</v>
      </c>
      <c r="H8" s="57">
        <v>9.2799999999999994</v>
      </c>
      <c r="I8" s="57">
        <v>8.9</v>
      </c>
      <c r="J8" s="12">
        <f t="array" ref="J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43510</v>
      </c>
      <c r="K8" s="59">
        <f>IFERROR(Table13[[#This Row],[Bid Accepted]]*(Table13[[#This Row],[WAYR Current]]%/364*Table13[[#This Row],[Days To Maturity]]),0)</f>
        <v>836.12799999999993</v>
      </c>
      <c r="L8" s="41">
        <f>+Table13[[#This Row],[Bid Accepted]]-Table13[[#This Row],[Amount Offered]]</f>
        <v>-3990</v>
      </c>
      <c r="M8" s="57">
        <f>+IF(Table13[[#This Row],[WAYR Last]]&gt;0,IF(Table13[[#This Row],[WAYR Current]]&gt;0,(Table13[[#This Row],[WAYR Current]]-Table13[[#This Row],[WAYR Last]]),""),"")</f>
        <v>0.37999999999999901</v>
      </c>
      <c r="N8" s="5"/>
      <c r="O8" s="67">
        <v>43617</v>
      </c>
      <c r="P8" s="67">
        <f>SUMIFS(Table13[Bid Accepted],Table13[Maturity date],"&gt;="&amp;$O8,Table13[Maturity date],"&lt;="&amp;EOMONTH($O8,0),Table13[Days To Maturity],P$2)</f>
        <v>32760</v>
      </c>
      <c r="Q8" s="67">
        <f>SUMIFS(Table13[Bid Accepted],Table13[Maturity date],"&gt;="&amp;$O8,Table13[Maturity date],"&lt;="&amp;EOMONTH($O8,0),Table13[Days To Maturity],Q$2)</f>
        <v>22300</v>
      </c>
      <c r="R8" s="67">
        <f>SUMIFS(Table13[Bid Accepted],Table13[Maturity date],"&gt;="&amp;$O8,Table13[Maturity date],"&lt;="&amp;EOMONTH($O8,0),Table13[Days To Maturity],R$2)</f>
        <v>6020</v>
      </c>
      <c r="S8" s="67">
        <f t="shared" si="0"/>
        <v>61080</v>
      </c>
      <c r="T8" s="67"/>
      <c r="U8" s="14">
        <f>SUMIFS(Table13[Bid Accepted],Table13[Date_d],"&gt;="&amp;O8,Table13[Date_d],"&lt;="&amp;EOMONTH(O8,0),Table13[Days To Maturity],U$2)</f>
        <v>24727</v>
      </c>
      <c r="V8" s="14">
        <f>SUMIFS(Table13[Bid Accepted],Table13[Date_d],"&gt;="&amp;O8,Table13[Date_d],"&lt;="&amp;EOMONTH(O8,0),Table13[Days To Maturity],V$2)</f>
        <v>30374</v>
      </c>
      <c r="W8" s="14">
        <f>SUMIFS(Table13[Bid Accepted],Table13[Date_d],"&gt;="&amp;O8,Table13[Date_d],"&lt;="&amp;EOMONTH(O8,0),Table13[Days To Maturity],W$2)</f>
        <v>18133</v>
      </c>
      <c r="X8" s="14">
        <f t="shared" si="1"/>
        <v>73234</v>
      </c>
      <c r="Y8" s="14"/>
      <c r="Z8" s="14">
        <f t="shared" si="2"/>
        <v>12154</v>
      </c>
      <c r="AA8" s="5"/>
      <c r="AB8" s="14">
        <f>SUMIFS(Table13[Coupon],Table13[Maturity date],"&gt;="&amp;$O8,Table13[Maturity date],"&lt;="&amp;EOMONTH($O8,0),Table13[Days To Maturity],AB$2)</f>
        <v>3084.0164999999997</v>
      </c>
      <c r="AC8" s="14">
        <f>SUMIFS(Table13[Coupon],Table13[Maturity date],"&gt;="&amp;$O8,Table13[Maturity date],"&lt;="&amp;EOMONTH($O8,0),Table13[Days To Maturity],AC$2)</f>
        <v>1116.145</v>
      </c>
      <c r="AD8" s="14">
        <f>SUMIFS(Table13[Coupon],Table13[Maturity date],"&gt;="&amp;$O8,Table13[Maturity date],"&lt;="&amp;EOMONTH($O8,0),Table13[Days To Maturity],AD$2)</f>
        <v>142.42750000000001</v>
      </c>
      <c r="AE8" s="14">
        <f t="shared" si="3"/>
        <v>4342.5889999999999</v>
      </c>
      <c r="AF8" s="14"/>
      <c r="AH8" s="13">
        <v>43130</v>
      </c>
      <c r="AI8" s="78">
        <v>17000</v>
      </c>
      <c r="AJ8" s="78">
        <v>44468</v>
      </c>
      <c r="AK8" s="78">
        <v>15534</v>
      </c>
      <c r="AL8" s="78">
        <v>27468</v>
      </c>
      <c r="AM8" s="78">
        <v>-1466</v>
      </c>
      <c r="AN8" s="78">
        <v>8.9</v>
      </c>
      <c r="AO8" s="77">
        <v>-8.6235294117647063E-2</v>
      </c>
      <c r="AP8" s="77"/>
      <c r="AQ8" s="15"/>
      <c r="AR8" s="13">
        <v>43495</v>
      </c>
      <c r="AS8" s="16" t="e">
        <v>#VALUE!</v>
      </c>
      <c r="AT8" s="17">
        <v>1.35</v>
      </c>
      <c r="AU8" s="17">
        <v>3.2771875000000001</v>
      </c>
      <c r="AV8" s="64">
        <v>2.8183333333333334</v>
      </c>
      <c r="AW8" s="19"/>
      <c r="AX8" s="78"/>
      <c r="AY8" s="13">
        <v>43130</v>
      </c>
      <c r="AZ8" s="78" t="str">
        <f t="array" ref="AZ8">INDEX(_xlfn._xlws.FILTER(Table13[],Table13[Days To Maturity]=AZ$3),MATCH($AY8,Table13[Date_d],0),8)</f>
        <v xml:space="preserve"> -   </v>
      </c>
      <c r="BA8" s="78" t="str">
        <f t="array" ref="BA8">INDEX(_xlfn._xlws.FILTER(Table13[],Table13[Days To Maturity]=BA$3),MATCH($AY8,Table13[Date_d],0),8)</f>
        <v xml:space="preserve"> -   </v>
      </c>
      <c r="BB8" s="78">
        <f t="array" ref="BB8">INDEX(_xlfn._xlws.FILTER(Table13[],Table13[Days To Maturity]=BB$3),MATCH($AY8,Table13[Date_d],0),8)</f>
        <v>8.9</v>
      </c>
    </row>
    <row r="9" spans="1:54" x14ac:dyDescent="0.2">
      <c r="A9" s="9">
        <v>43152</v>
      </c>
      <c r="B9" s="10" t="s">
        <v>33</v>
      </c>
      <c r="C9" s="10">
        <v>364</v>
      </c>
      <c r="D9" s="10" t="s">
        <v>20</v>
      </c>
      <c r="E9" s="14">
        <v>11000</v>
      </c>
      <c r="F9" s="18">
        <v>31256</v>
      </c>
      <c r="G9" s="18">
        <v>15246</v>
      </c>
      <c r="H9" s="33">
        <v>9.4499999999999993</v>
      </c>
      <c r="I9" s="33">
        <v>8.9</v>
      </c>
      <c r="J9" s="12">
        <f t="array" ref="J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43517</v>
      </c>
      <c r="K9" s="59">
        <f>IFERROR(Table13[[#This Row],[Bid Accepted]]*(Table13[[#This Row],[WAYR Current]]%/364*Table13[[#This Row],[Days To Maturity]]),0)</f>
        <v>1440.7469999999996</v>
      </c>
      <c r="L9" s="41">
        <f>+Table13[[#This Row],[Bid Accepted]]-Table13[[#This Row],[Amount Offered]]</f>
        <v>4246</v>
      </c>
      <c r="M9" s="57">
        <f>+IF(Table13[[#This Row],[WAYR Last]]&gt;0,IF(Table13[[#This Row],[WAYR Current]]&gt;0,(Table13[[#This Row],[WAYR Current]]-Table13[[#This Row],[WAYR Last]]),""),"")</f>
        <v>0.54999999999999893</v>
      </c>
      <c r="N9" s="5"/>
      <c r="O9" s="67">
        <v>43647</v>
      </c>
      <c r="P9" s="67">
        <f>SUMIFS(Table13[Bid Accepted],Table13[Maturity date],"&gt;="&amp;$O9,Table13[Maturity date],"&lt;="&amp;EOMONTH($O9,0),Table13[Days To Maturity],P$2)</f>
        <v>48377</v>
      </c>
      <c r="Q9" s="67">
        <f>SUMIFS(Table13[Bid Accepted],Table13[Maturity date],"&gt;="&amp;$O9,Table13[Maturity date],"&lt;="&amp;EOMONTH($O9,0),Table13[Days To Maturity],Q$2)</f>
        <v>19705</v>
      </c>
      <c r="R9" s="67">
        <f>SUMIFS(Table13[Bid Accepted],Table13[Maturity date],"&gt;="&amp;$O9,Table13[Maturity date],"&lt;="&amp;EOMONTH($O9,0),Table13[Days To Maturity],R$2)</f>
        <v>20000</v>
      </c>
      <c r="S9" s="67">
        <f t="shared" si="0"/>
        <v>88082</v>
      </c>
      <c r="T9" s="67"/>
      <c r="U9" s="14">
        <f>SUMIFS(Table13[Bid Accepted],Table13[Date_d],"&gt;="&amp;O9,Table13[Date_d],"&lt;="&amp;EOMONTH(O9,0),Table13[Days To Maturity],U$2)</f>
        <v>75334</v>
      </c>
      <c r="V9" s="14">
        <f>SUMIFS(Table13[Bid Accepted],Table13[Date_d],"&gt;="&amp;O9,Table13[Date_d],"&lt;="&amp;EOMONTH(O9,0),Table13[Days To Maturity],V$2)</f>
        <v>17666</v>
      </c>
      <c r="W9" s="14">
        <f>SUMIFS(Table13[Bid Accepted],Table13[Date_d],"&gt;="&amp;O9,Table13[Date_d],"&lt;="&amp;EOMONTH(O9,0),Table13[Days To Maturity],W$2)</f>
        <v>23000</v>
      </c>
      <c r="X9" s="14">
        <f t="shared" si="1"/>
        <v>116000</v>
      </c>
      <c r="Y9" s="14"/>
      <c r="Z9" s="14">
        <f t="shared" si="2"/>
        <v>27918</v>
      </c>
      <c r="AA9" s="5"/>
      <c r="AB9" s="14">
        <f>SUMIFS(Table13[Coupon],Table13[Maturity date],"&gt;="&amp;$O9,Table13[Maturity date],"&lt;="&amp;EOMONTH($O9,0),Table13[Days To Maturity],AB$2)</f>
        <v>4517.5398999999998</v>
      </c>
      <c r="AC9" s="14">
        <f>SUMIFS(Table13[Coupon],Table13[Maturity date],"&gt;="&amp;$O9,Table13[Maturity date],"&lt;="&amp;EOMONTH($O9,0),Table13[Days To Maturity],AC$2)</f>
        <v>975.18124999999998</v>
      </c>
      <c r="AD9" s="14">
        <f>SUMIFS(Table13[Coupon],Table13[Maturity date],"&gt;="&amp;$O9,Table13[Maturity date],"&lt;="&amp;EOMONTH($O9,0),Table13[Days To Maturity],AD$2)</f>
        <v>452.09999999999997</v>
      </c>
      <c r="AE9" s="14">
        <f t="shared" si="3"/>
        <v>5944.8211499999998</v>
      </c>
      <c r="AF9" s="14"/>
      <c r="AH9" s="13">
        <v>43138</v>
      </c>
      <c r="AI9" s="78">
        <v>14500</v>
      </c>
      <c r="AJ9" s="78">
        <v>32720</v>
      </c>
      <c r="AK9" s="78">
        <v>18713</v>
      </c>
      <c r="AL9" s="78">
        <v>18220</v>
      </c>
      <c r="AM9" s="78">
        <v>4213</v>
      </c>
      <c r="AN9" s="78">
        <v>8.94</v>
      </c>
      <c r="AO9" s="77">
        <v>0.29055172413793101</v>
      </c>
      <c r="AP9" s="77"/>
      <c r="AQ9" s="15"/>
      <c r="AR9" s="13">
        <v>43502</v>
      </c>
      <c r="AS9" s="16">
        <v>1.6379999999999999</v>
      </c>
      <c r="AT9" s="17">
        <v>1.3234999999999999</v>
      </c>
      <c r="AU9" s="17">
        <v>2.9032499999999999</v>
      </c>
      <c r="AV9" s="64">
        <v>2.4028749999999999</v>
      </c>
      <c r="AW9" s="19"/>
      <c r="AX9" s="78"/>
      <c r="AY9" s="13">
        <v>43138</v>
      </c>
      <c r="AZ9" s="78">
        <f t="array" ref="AZ9">INDEX(_xlfn._xlws.FILTER(Table13[],Table13[Days To Maturity]=AZ$3),MATCH($AY9,Table13[Date_d],0),8)</f>
        <v>9.65</v>
      </c>
      <c r="BA9" s="78">
        <f t="array" ref="BA9">INDEX(_xlfn._xlws.FILTER(Table13[],Table13[Days To Maturity]=BA$3),MATCH($AY9,Table13[Date_d],0),8)</f>
        <v>8.6999999999999993</v>
      </c>
      <c r="BB9" s="78">
        <f t="array" ref="BB9">INDEX(_xlfn._xlws.FILTER(Table13[],Table13[Days To Maturity]=BB$3),MATCH($AY9,Table13[Date_d],0),8)</f>
        <v>8.94</v>
      </c>
    </row>
    <row r="10" spans="1:54" x14ac:dyDescent="0.2">
      <c r="A10" s="34">
        <v>43158</v>
      </c>
      <c r="B10" s="35" t="s">
        <v>34</v>
      </c>
      <c r="C10" s="10">
        <v>364</v>
      </c>
      <c r="D10" s="10" t="s">
        <v>20</v>
      </c>
      <c r="E10" s="14">
        <v>13000</v>
      </c>
      <c r="F10" s="18">
        <v>41578</v>
      </c>
      <c r="G10" s="18">
        <v>30000</v>
      </c>
      <c r="H10" s="57">
        <v>9.59</v>
      </c>
      <c r="I10" s="57">
        <v>8.94</v>
      </c>
      <c r="J10" s="12">
        <f t="array" ref="J1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43523</v>
      </c>
      <c r="K10" s="59">
        <f>IFERROR(Table13[[#This Row],[Bid Accepted]]*(Table13[[#This Row],[WAYR Current]]%/364*Table13[[#This Row],[Days To Maturity]]),0)</f>
        <v>2877</v>
      </c>
      <c r="L10" s="41">
        <f>+Table13[[#This Row],[Bid Accepted]]-Table13[[#This Row],[Amount Offered]]</f>
        <v>17000</v>
      </c>
      <c r="M10" s="57">
        <f>+IF(Table13[[#This Row],[WAYR Last]]&gt;0,IF(Table13[[#This Row],[WAYR Current]]&gt;0,(Table13[[#This Row],[WAYR Current]]-Table13[[#This Row],[WAYR Last]]),""),"")</f>
        <v>0.65000000000000036</v>
      </c>
      <c r="N10" s="5"/>
      <c r="O10" s="67">
        <v>43678</v>
      </c>
      <c r="P10" s="67">
        <f>SUMIFS(Table13[Bid Accepted],Table13[Maturity date],"&gt;="&amp;$O10,Table13[Maturity date],"&lt;="&amp;EOMONTH($O10,0),Table13[Days To Maturity],P$2)</f>
        <v>62711</v>
      </c>
      <c r="Q10" s="67">
        <f>SUMIFS(Table13[Bid Accepted],Table13[Maturity date],"&gt;="&amp;$O10,Table13[Maturity date],"&lt;="&amp;EOMONTH($O10,0),Table13[Days To Maturity],Q$2)</f>
        <v>3513</v>
      </c>
      <c r="R10" s="67">
        <f>SUMIFS(Table13[Bid Accepted],Table13[Maturity date],"&gt;="&amp;$O10,Table13[Maturity date],"&lt;="&amp;EOMONTH($O10,0),Table13[Days To Maturity],R$2)</f>
        <v>8000</v>
      </c>
      <c r="S10" s="67">
        <f t="shared" si="0"/>
        <v>74224</v>
      </c>
      <c r="T10" s="67"/>
      <c r="U10" s="14">
        <f>SUMIFS(Table13[Bid Accepted],Table13[Date_d],"&gt;="&amp;O10,Table13[Date_d],"&lt;="&amp;EOMONTH(O10,0),Table13[Days To Maturity],U$2)</f>
        <v>55848</v>
      </c>
      <c r="V10" s="14">
        <f>SUMIFS(Table13[Bid Accepted],Table13[Date_d],"&gt;="&amp;O10,Table13[Date_d],"&lt;="&amp;EOMONTH(O10,0),Table13[Days To Maturity],V$2)</f>
        <v>4042</v>
      </c>
      <c r="W10" s="14">
        <f>SUMIFS(Table13[Bid Accepted],Table13[Date_d],"&gt;="&amp;O10,Table13[Date_d],"&lt;="&amp;EOMONTH(O10,0),Table13[Days To Maturity],W$2)</f>
        <v>7797</v>
      </c>
      <c r="X10" s="14">
        <f t="shared" si="1"/>
        <v>67687</v>
      </c>
      <c r="Y10" s="5"/>
      <c r="Z10" s="14">
        <f t="shared" si="2"/>
        <v>-6537</v>
      </c>
      <c r="AA10" s="5"/>
      <c r="AB10" s="14">
        <f>SUMIFS(Table13[Coupon],Table13[Maturity date],"&gt;="&amp;$O10,Table13[Maturity date],"&lt;="&amp;EOMONTH($O10,0),Table13[Days To Maturity],AB$2)</f>
        <v>5708.3092999999999</v>
      </c>
      <c r="AC10" s="14">
        <f>SUMIFS(Table13[Coupon],Table13[Maturity date],"&gt;="&amp;$O10,Table13[Maturity date],"&lt;="&amp;EOMONTH($O10,0),Table13[Days To Maturity],AC$2)</f>
        <v>173.36654999999999</v>
      </c>
      <c r="AD10" s="14">
        <f>SUMIFS(Table13[Coupon],Table13[Maturity date],"&gt;="&amp;$O10,Table13[Maturity date],"&lt;="&amp;EOMONTH($O10,0),Table13[Days To Maturity],AD$2)</f>
        <v>170.3</v>
      </c>
      <c r="AE10" s="14">
        <f t="shared" si="3"/>
        <v>6051.9758499999998</v>
      </c>
      <c r="AF10" s="14"/>
      <c r="AH10" s="13">
        <v>43145</v>
      </c>
      <c r="AI10" s="78">
        <v>13000</v>
      </c>
      <c r="AJ10" s="78">
        <v>19033</v>
      </c>
      <c r="AK10" s="78">
        <v>9010</v>
      </c>
      <c r="AL10" s="78">
        <v>6033</v>
      </c>
      <c r="AM10" s="78">
        <v>-3990</v>
      </c>
      <c r="AN10" s="78">
        <v>9.2799999999999994</v>
      </c>
      <c r="AO10" s="77">
        <v>-0.30692307692307691</v>
      </c>
      <c r="AP10" s="77"/>
      <c r="AQ10" s="15"/>
      <c r="AR10" s="13">
        <v>43509</v>
      </c>
      <c r="AS10" s="16">
        <v>1.3857142857142857</v>
      </c>
      <c r="AT10" s="17">
        <v>1.3571428571428572</v>
      </c>
      <c r="AU10" s="17">
        <v>3.1197857142857144</v>
      </c>
      <c r="AV10" s="64">
        <v>2.5369999999999999</v>
      </c>
      <c r="AW10" s="19"/>
      <c r="AX10" s="78"/>
      <c r="AY10" s="13">
        <v>43145</v>
      </c>
      <c r="AZ10" s="78">
        <f t="array" ref="AZ10">INDEX(_xlfn._xlws.FILTER(Table13[],Table13[Days To Maturity]=AZ$3),MATCH($AY10,Table13[Date_d],0),8)</f>
        <v>10.07</v>
      </c>
      <c r="BA10" s="78">
        <f t="array" ref="BA10">INDEX(_xlfn._xlws.FILTER(Table13[],Table13[Days To Maturity]=BA$3),MATCH($AY10,Table13[Date_d],0),8)</f>
        <v>8.6199999999999992</v>
      </c>
      <c r="BB10" s="78">
        <f t="array" ref="BB10">INDEX(_xlfn._xlws.FILTER(Table13[],Table13[Days To Maturity]=BB$3),MATCH($AY10,Table13[Date_d],0),8)</f>
        <v>9.2799999999999994</v>
      </c>
    </row>
    <row r="11" spans="1:54" x14ac:dyDescent="0.2">
      <c r="A11" s="9">
        <v>43166</v>
      </c>
      <c r="B11" s="10" t="s">
        <v>35</v>
      </c>
      <c r="C11" s="10">
        <v>364</v>
      </c>
      <c r="D11" s="10" t="s">
        <v>20</v>
      </c>
      <c r="E11" s="14">
        <v>15000</v>
      </c>
      <c r="F11" s="18">
        <v>35769</v>
      </c>
      <c r="G11" s="18">
        <v>21169</v>
      </c>
      <c r="H11" s="37">
        <v>9.66</v>
      </c>
      <c r="I11" s="37">
        <v>9.2799999999999994</v>
      </c>
      <c r="J11" s="12">
        <f t="array" ref="J1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43531</v>
      </c>
      <c r="K11" s="66">
        <f>IFERROR(Table13[[#This Row],[Bid Accepted]]*(Table13[[#This Row],[WAYR Current]]%/364*Table13[[#This Row],[Days To Maturity]]),0)</f>
        <v>2044.9254000000001</v>
      </c>
      <c r="L11" s="41">
        <f>+Table13[[#This Row],[Bid Accepted]]-Table13[[#This Row],[Amount Offered]]</f>
        <v>6169</v>
      </c>
      <c r="M11" s="57">
        <f>+IF(Table13[[#This Row],[WAYR Last]]&gt;0,IF(Table13[[#This Row],[WAYR Current]]&gt;0,(Table13[[#This Row],[WAYR Current]]-Table13[[#This Row],[WAYR Last]]),""),"")</f>
        <v>0.38000000000000078</v>
      </c>
      <c r="N11" s="5"/>
      <c r="O11" s="67">
        <v>43709</v>
      </c>
      <c r="P11" s="67">
        <f>SUMIFS(Table13[Bid Accepted],Table13[Maturity date],"&gt;="&amp;$O11,Table13[Maturity date],"&lt;="&amp;EOMONTH($O11,0),Table13[Days To Maturity],P$2)</f>
        <v>22802</v>
      </c>
      <c r="Q11" s="67">
        <f>SUMIFS(Table13[Bid Accepted],Table13[Maturity date],"&gt;="&amp;$O11,Table13[Maturity date],"&lt;="&amp;EOMONTH($O11,0),Table13[Days To Maturity],Q$2)</f>
        <v>4985</v>
      </c>
      <c r="R11" s="67">
        <f>SUMIFS(Table13[Bid Accepted],Table13[Maturity date],"&gt;="&amp;$O11,Table13[Maturity date],"&lt;="&amp;EOMONTH($O11,0),Table13[Days To Maturity],R$2)</f>
        <v>18133</v>
      </c>
      <c r="S11" s="67">
        <f t="shared" si="0"/>
        <v>45920</v>
      </c>
      <c r="T11" s="67"/>
      <c r="U11" s="14">
        <f>SUMIFS(Table13[Bid Accepted],Table13[Date_d],"&gt;="&amp;O11,Table13[Date_d],"&lt;="&amp;EOMONTH(O11,0),Table13[Days To Maturity],U$2)</f>
        <v>42616</v>
      </c>
      <c r="V11" s="14">
        <f>SUMIFS(Table13[Bid Accepted],Table13[Date_d],"&gt;="&amp;O11,Table13[Date_d],"&lt;="&amp;EOMONTH(O11,0),Table13[Days To Maturity],V$2)</f>
        <v>12444</v>
      </c>
      <c r="W11" s="14">
        <f>SUMIFS(Table13[Bid Accepted],Table13[Date_d],"&gt;="&amp;O11,Table13[Date_d],"&lt;="&amp;EOMONTH(O11,0),Table13[Days To Maturity],W$2)</f>
        <v>10440</v>
      </c>
      <c r="X11" s="14">
        <f t="shared" si="1"/>
        <v>65500</v>
      </c>
      <c r="Y11" s="5"/>
      <c r="Z11" s="14">
        <f t="shared" si="2"/>
        <v>19580</v>
      </c>
      <c r="AA11" s="5"/>
      <c r="AB11" s="14">
        <f>SUMIFS(Table13[Coupon],Table13[Maturity date],"&gt;="&amp;$O11,Table13[Maturity date],"&lt;="&amp;EOMONTH($O11,0),Table13[Days To Maturity],AB$2)</f>
        <v>2073.1702</v>
      </c>
      <c r="AC11" s="14">
        <f>SUMIFS(Table13[Coupon],Table13[Maturity date],"&gt;="&amp;$O11,Table13[Maturity date],"&lt;="&amp;EOMONTH($O11,0),Table13[Days To Maturity],AC$2)</f>
        <v>242.70974999999999</v>
      </c>
      <c r="AD11" s="14">
        <f>SUMIFS(Table13[Coupon],Table13[Maturity date],"&gt;="&amp;$O11,Table13[Maturity date],"&lt;="&amp;EOMONTH($O11,0),Table13[Days To Maturity],AD$2)</f>
        <v>378.8363500000001</v>
      </c>
      <c r="AE11" s="14">
        <f t="shared" si="3"/>
        <v>2694.7163</v>
      </c>
      <c r="AF11" s="14"/>
      <c r="AH11" s="13">
        <v>43152</v>
      </c>
      <c r="AI11" s="78">
        <v>11000</v>
      </c>
      <c r="AJ11" s="78">
        <v>31256</v>
      </c>
      <c r="AK11" s="78">
        <v>15246</v>
      </c>
      <c r="AL11" s="78">
        <v>20256</v>
      </c>
      <c r="AM11" s="78">
        <v>4246</v>
      </c>
      <c r="AN11" s="78">
        <v>9.4499999999999993</v>
      </c>
      <c r="AO11" s="77">
        <v>0.38600000000000001</v>
      </c>
      <c r="AP11" s="77"/>
      <c r="AQ11" s="15"/>
      <c r="AR11" s="13">
        <v>43516</v>
      </c>
      <c r="AS11" s="16">
        <v>1.2666666666666666</v>
      </c>
      <c r="AT11" s="17">
        <v>1.35</v>
      </c>
      <c r="AU11" s="17">
        <v>4.2381904761904758</v>
      </c>
      <c r="AV11" s="33">
        <v>2.6756000000000002</v>
      </c>
      <c r="AW11" s="19"/>
      <c r="AX11" s="78"/>
      <c r="AY11" s="13">
        <v>43152</v>
      </c>
      <c r="AZ11" s="78">
        <f t="array" ref="AZ11">INDEX(_xlfn._xlws.FILTER(Table13[],Table13[Days To Maturity]=AZ$3),MATCH($AY11,Table13[Date_d],0),8)</f>
        <v>10.01</v>
      </c>
      <c r="BA11" s="78">
        <f t="array" ref="BA11">INDEX(_xlfn._xlws.FILTER(Table13[],Table13[Days To Maturity]=BA$3),MATCH($AY11,Table13[Date_d],0),8)</f>
        <v>8.6</v>
      </c>
      <c r="BB11" s="78">
        <f t="array" ref="BB11">INDEX(_xlfn._xlws.FILTER(Table13[],Table13[Days To Maturity]=BB$3),MATCH($AY11,Table13[Date_d],0),8)</f>
        <v>9.4499999999999993</v>
      </c>
    </row>
    <row r="12" spans="1:54" x14ac:dyDescent="0.2">
      <c r="A12" s="34">
        <v>43173</v>
      </c>
      <c r="B12" s="35" t="s">
        <v>36</v>
      </c>
      <c r="C12" s="10">
        <v>364</v>
      </c>
      <c r="D12" s="10" t="s">
        <v>20</v>
      </c>
      <c r="E12" s="14">
        <v>14000</v>
      </c>
      <c r="F12" s="18">
        <v>48688</v>
      </c>
      <c r="G12" s="18">
        <v>23500</v>
      </c>
      <c r="H12" s="39">
        <v>9.6999999999999993</v>
      </c>
      <c r="I12" s="39">
        <v>9.4499999999999993</v>
      </c>
      <c r="J12" s="12">
        <f t="array" ref="J1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43538</v>
      </c>
      <c r="K12" s="59">
        <f>IFERROR(Table13[[#This Row],[Bid Accepted]]*(Table13[[#This Row],[WAYR Current]]%/364*Table13[[#This Row],[Days To Maturity]]),0)</f>
        <v>2279.4999999999995</v>
      </c>
      <c r="L12" s="41">
        <f>+Table13[[#This Row],[Bid Accepted]]-Table13[[#This Row],[Amount Offered]]</f>
        <v>9500</v>
      </c>
      <c r="M12" s="57">
        <f>+IF(Table13[[#This Row],[WAYR Last]]&gt;0,IF(Table13[[#This Row],[WAYR Current]]&gt;0,(Table13[[#This Row],[WAYR Current]]-Table13[[#This Row],[WAYR Last]]),""),"")</f>
        <v>0.25</v>
      </c>
      <c r="N12" s="5"/>
      <c r="O12" s="67">
        <v>43739</v>
      </c>
      <c r="P12" s="67">
        <f>SUMIFS(Table13[Bid Accepted],Table13[Maturity date],"&gt;="&amp;$O12,Table13[Maturity date],"&lt;="&amp;EOMONTH($O12,0),Table13[Days To Maturity],P$2)</f>
        <v>18726</v>
      </c>
      <c r="Q12" s="67">
        <f>SUMIFS(Table13[Bid Accepted],Table13[Maturity date],"&gt;="&amp;$O12,Table13[Maturity date],"&lt;="&amp;EOMONTH($O12,0),Table13[Days To Maturity],Q$2)</f>
        <v>25000</v>
      </c>
      <c r="R12" s="67">
        <f>SUMIFS(Table13[Bid Accepted],Table13[Maturity date],"&gt;="&amp;$O12,Table13[Maturity date],"&lt;="&amp;EOMONTH($O12,0),Table13[Days To Maturity],R$2)</f>
        <v>23000</v>
      </c>
      <c r="S12" s="67">
        <f t="shared" si="0"/>
        <v>66726</v>
      </c>
      <c r="T12" s="67"/>
      <c r="U12" s="14">
        <f>SUMIFS(Table13[Bid Accepted],Table13[Date_d],"&gt;="&amp;O12,Table13[Date_d],"&lt;="&amp;EOMONTH(O12,0),Table13[Days To Maturity],U$2)</f>
        <v>52028</v>
      </c>
      <c r="V12" s="14">
        <f>SUMIFS(Table13[Bid Accepted],Table13[Date_d],"&gt;="&amp;O12,Table13[Date_d],"&lt;="&amp;EOMONTH(O12,0),Table13[Days To Maturity],V$2)</f>
        <v>28315</v>
      </c>
      <c r="W12" s="14">
        <f>SUMIFS(Table13[Bid Accepted],Table13[Date_d],"&gt;="&amp;O12,Table13[Date_d],"&lt;="&amp;EOMONTH(O12,0),Table13[Days To Maturity],W$2)</f>
        <v>13157</v>
      </c>
      <c r="X12" s="14">
        <f t="shared" si="1"/>
        <v>93500</v>
      </c>
      <c r="Y12" s="5"/>
      <c r="Z12" s="14">
        <f t="shared" si="2"/>
        <v>26774</v>
      </c>
      <c r="AA12" s="5"/>
      <c r="AB12" s="14">
        <f>SUMIFS(Table13[Coupon],Table13[Maturity date],"&gt;="&amp;$O12,Table13[Maturity date],"&lt;="&amp;EOMONTH($O12,0),Table13[Days To Maturity],AB$2)</f>
        <v>1933.7444</v>
      </c>
      <c r="AC12" s="14">
        <f>SUMIFS(Table13[Coupon],Table13[Maturity date],"&gt;="&amp;$O12,Table13[Maturity date],"&lt;="&amp;EOMONTH($O12,0),Table13[Days To Maturity],AC$2)</f>
        <v>1153.2</v>
      </c>
      <c r="AD12" s="14">
        <f>SUMIFS(Table13[Coupon],Table13[Maturity date],"&gt;="&amp;$O12,Table13[Maturity date],"&lt;="&amp;EOMONTH($O12,0),Table13[Days To Maturity],AD$2)</f>
        <v>460.52500000000003</v>
      </c>
      <c r="AE12" s="14">
        <f t="shared" si="3"/>
        <v>3547.4694000000004</v>
      </c>
      <c r="AF12" s="14"/>
      <c r="AH12" s="13">
        <v>43158</v>
      </c>
      <c r="AI12" s="78">
        <v>13000</v>
      </c>
      <c r="AJ12" s="78">
        <v>41578</v>
      </c>
      <c r="AK12" s="78">
        <v>30000</v>
      </c>
      <c r="AL12" s="78">
        <v>28578</v>
      </c>
      <c r="AM12" s="78">
        <v>17000</v>
      </c>
      <c r="AN12" s="78">
        <v>9.59</v>
      </c>
      <c r="AO12" s="77">
        <v>1.3076923076923077</v>
      </c>
      <c r="AP12" s="77"/>
      <c r="AQ12" s="15"/>
      <c r="AR12" s="13">
        <v>43523</v>
      </c>
      <c r="AS12" s="16">
        <v>1.2549999999999999</v>
      </c>
      <c r="AT12" s="17">
        <v>1.5449999999999999</v>
      </c>
      <c r="AU12" s="17">
        <v>3.3563999999999998</v>
      </c>
      <c r="AV12" s="33">
        <v>2.6408749999999999</v>
      </c>
      <c r="AW12" s="19"/>
      <c r="AX12" s="78"/>
      <c r="AY12" s="13">
        <v>43158</v>
      </c>
      <c r="AZ12" s="78" t="str">
        <f t="array" ref="AZ12">INDEX(_xlfn._xlws.FILTER(Table13[],Table13[Days To Maturity]=AZ$3),MATCH($AY12,Table13[Date_d],0),8)</f>
        <v xml:space="preserve"> -   </v>
      </c>
      <c r="BA12" s="78" t="str">
        <f t="array" ref="BA12">INDEX(_xlfn._xlws.FILTER(Table13[],Table13[Days To Maturity]=BA$3),MATCH($AY12,Table13[Date_d],0),8)</f>
        <v xml:space="preserve"> -   </v>
      </c>
      <c r="BB12" s="78">
        <f t="array" ref="BB12">INDEX(_xlfn._xlws.FILTER(Table13[],Table13[Days To Maturity]=BB$3),MATCH($AY12,Table13[Date_d],0),8)</f>
        <v>9.59</v>
      </c>
    </row>
    <row r="13" spans="1:54" x14ac:dyDescent="0.2">
      <c r="A13" s="9">
        <v>43180</v>
      </c>
      <c r="B13" s="10" t="s">
        <v>37</v>
      </c>
      <c r="C13" s="10">
        <v>364</v>
      </c>
      <c r="D13" s="10" t="s">
        <v>20</v>
      </c>
      <c r="E13" s="14">
        <v>15000</v>
      </c>
      <c r="F13" s="18">
        <v>51527</v>
      </c>
      <c r="G13" s="18">
        <v>22000</v>
      </c>
      <c r="H13" s="37">
        <v>9.66</v>
      </c>
      <c r="I13" s="37">
        <v>9.59</v>
      </c>
      <c r="J13" s="12">
        <f t="array" ref="J1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43545</v>
      </c>
      <c r="K13" s="59">
        <f>IFERROR(Table13[[#This Row],[Bid Accepted]]*(Table13[[#This Row],[WAYR Current]]%/364*Table13[[#This Row],[Days To Maturity]]),0)</f>
        <v>2125.2000000000003</v>
      </c>
      <c r="L13" s="41">
        <f>+Table13[[#This Row],[Bid Accepted]]-Table13[[#This Row],[Amount Offered]]</f>
        <v>7000</v>
      </c>
      <c r="M13" s="57">
        <f>+IF(Table13[[#This Row],[WAYR Last]]&gt;0,IF(Table13[[#This Row],[WAYR Current]]&gt;0,(Table13[[#This Row],[WAYR Current]]-Table13[[#This Row],[WAYR Last]]),""),"")</f>
        <v>7.0000000000000284E-2</v>
      </c>
      <c r="N13" s="5"/>
      <c r="O13" s="67">
        <v>43770</v>
      </c>
      <c r="P13" s="67">
        <f>SUMIFS(Table13[Bid Accepted],Table13[Maturity date],"&gt;="&amp;$O13,Table13[Maturity date],"&lt;="&amp;EOMONTH($O13,0),Table13[Days To Maturity],P$2)</f>
        <v>48326</v>
      </c>
      <c r="Q13" s="67">
        <f>SUMIFS(Table13[Bid Accepted],Table13[Maturity date],"&gt;="&amp;$O13,Table13[Maturity date],"&lt;="&amp;EOMONTH($O13,0),Table13[Days To Maturity],Q$2)</f>
        <v>18500</v>
      </c>
      <c r="R13" s="67">
        <f>SUMIFS(Table13[Bid Accepted],Table13[Maturity date],"&gt;="&amp;$O13,Table13[Maturity date],"&lt;="&amp;EOMONTH($O13,0),Table13[Days To Maturity],R$2)</f>
        <v>7797</v>
      </c>
      <c r="S13" s="67">
        <f t="shared" si="0"/>
        <v>74623</v>
      </c>
      <c r="T13" s="67"/>
      <c r="U13" s="14">
        <f>SUMIFS(Table13[Bid Accepted],Table13[Date_d],"&gt;="&amp;O13,Table13[Date_d],"&lt;="&amp;EOMONTH(O13,0),Table13[Days To Maturity],U$2)</f>
        <v>55602</v>
      </c>
      <c r="V13" s="14">
        <f>SUMIFS(Table13[Bid Accepted],Table13[Date_d],"&gt;="&amp;O13,Table13[Date_d],"&lt;="&amp;EOMONTH(O13,0),Table13[Days To Maturity],V$2)</f>
        <v>13374</v>
      </c>
      <c r="W13" s="14">
        <f>SUMIFS(Table13[Bid Accepted],Table13[Date_d],"&gt;="&amp;O13,Table13[Date_d],"&lt;="&amp;EOMONTH(O13,0),Table13[Days To Maturity],W$2)</f>
        <v>16268</v>
      </c>
      <c r="X13" s="14">
        <f t="shared" si="1"/>
        <v>85244</v>
      </c>
      <c r="Y13" s="5"/>
      <c r="Z13" s="14">
        <f t="shared" si="2"/>
        <v>10621</v>
      </c>
      <c r="AA13" s="5"/>
      <c r="AB13" s="14">
        <f>SUMIFS(Table13[Coupon],Table13[Maturity date],"&gt;="&amp;$O13,Table13[Maturity date],"&lt;="&amp;EOMONTH($O13,0),Table13[Days To Maturity],AB$2)</f>
        <v>5381.6230000000005</v>
      </c>
      <c r="AC13" s="14">
        <f>SUMIFS(Table13[Coupon],Table13[Maturity date],"&gt;="&amp;$O13,Table13[Maturity date],"&lt;="&amp;EOMONTH($O13,0),Table13[Days To Maturity],AC$2)</f>
        <v>812.47500000000002</v>
      </c>
      <c r="AD13" s="14">
        <f>SUMIFS(Table13[Coupon],Table13[Maturity date],"&gt;="&amp;$O13,Table13[Maturity date],"&lt;="&amp;EOMONTH($O13,0),Table13[Days To Maturity],AD$2)</f>
        <v>151.46499999999997</v>
      </c>
      <c r="AE13" s="14">
        <f t="shared" si="3"/>
        <v>6345.563000000001</v>
      </c>
      <c r="AF13" s="14"/>
      <c r="AH13" s="13">
        <v>43166</v>
      </c>
      <c r="AI13" s="78">
        <v>15000</v>
      </c>
      <c r="AJ13" s="78">
        <v>35769</v>
      </c>
      <c r="AK13" s="78">
        <v>21169</v>
      </c>
      <c r="AL13" s="78">
        <v>20769</v>
      </c>
      <c r="AM13" s="78">
        <v>6169</v>
      </c>
      <c r="AN13" s="78">
        <v>9.66</v>
      </c>
      <c r="AO13" s="77">
        <v>0.41126666666666667</v>
      </c>
      <c r="AP13" s="77"/>
      <c r="AQ13" s="15"/>
      <c r="AR13" s="13">
        <v>43530</v>
      </c>
      <c r="AS13" s="16">
        <v>1.2</v>
      </c>
      <c r="AT13" s="17">
        <v>1.55</v>
      </c>
      <c r="AU13" s="17">
        <v>4.3041428571428568</v>
      </c>
      <c r="AV13" s="33">
        <v>3.0982500000000002</v>
      </c>
      <c r="AW13" s="19"/>
      <c r="AX13" s="78"/>
      <c r="AY13" s="13">
        <v>43166</v>
      </c>
      <c r="AZ13" s="78" t="str">
        <f t="array" ref="AZ13">INDEX(_xlfn._xlws.FILTER(Table13[],Table13[Days To Maturity]=AZ$3),MATCH($AY13,Table13[Date_d],0),8)</f>
        <v xml:space="preserve"> -   </v>
      </c>
      <c r="BA13" s="78" t="str">
        <f t="array" ref="BA13">INDEX(_xlfn._xlws.FILTER(Table13[],Table13[Days To Maturity]=BA$3),MATCH($AY13,Table13[Date_d],0),8)</f>
        <v xml:space="preserve"> -   </v>
      </c>
      <c r="BB13" s="78">
        <f t="array" ref="BB13">INDEX(_xlfn._xlws.FILTER(Table13[],Table13[Days To Maturity]=BB$3),MATCH($AY13,Table13[Date_d],0),8)</f>
        <v>9.66</v>
      </c>
    </row>
    <row r="14" spans="1:54" x14ac:dyDescent="0.2">
      <c r="A14" s="34">
        <v>43186</v>
      </c>
      <c r="B14" s="35" t="s">
        <v>38</v>
      </c>
      <c r="C14" s="10">
        <v>364</v>
      </c>
      <c r="D14" s="10" t="s">
        <v>20</v>
      </c>
      <c r="E14" s="14">
        <v>13500</v>
      </c>
      <c r="F14" s="18">
        <v>35432</v>
      </c>
      <c r="G14" s="18">
        <v>25500</v>
      </c>
      <c r="H14" s="57">
        <v>9.69</v>
      </c>
      <c r="I14" s="57">
        <v>9.66</v>
      </c>
      <c r="J14" s="12">
        <f t="array" ref="J1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43551</v>
      </c>
      <c r="K14" s="59">
        <f>IFERROR(Table13[[#This Row],[Bid Accepted]]*(Table13[[#This Row],[WAYR Current]]%/364*Table13[[#This Row],[Days To Maturity]]),0)</f>
        <v>2470.9500000000003</v>
      </c>
      <c r="L14" s="41">
        <f>+Table13[[#This Row],[Bid Accepted]]-Table13[[#This Row],[Amount Offered]]</f>
        <v>12000</v>
      </c>
      <c r="M14" s="57">
        <f>+IF(Table13[[#This Row],[WAYR Last]]&gt;0,IF(Table13[[#This Row],[WAYR Current]]&gt;0,(Table13[[#This Row],[WAYR Current]]-Table13[[#This Row],[WAYR Last]]),""),"")</f>
        <v>2.9999999999999361E-2</v>
      </c>
      <c r="N14" s="5"/>
      <c r="O14" s="67">
        <v>43800</v>
      </c>
      <c r="P14" s="67">
        <f>SUMIFS(Table13[Bid Accepted],Table13[Maturity date],"&gt;="&amp;$O14,Table13[Maturity date],"&lt;="&amp;EOMONTH($O14,0),Table13[Days To Maturity],P$2)</f>
        <v>37700</v>
      </c>
      <c r="Q14" s="67">
        <f>SUMIFS(Table13[Bid Accepted],Table13[Maturity date],"&gt;="&amp;$O14,Table13[Maturity date],"&lt;="&amp;EOMONTH($O14,0),Table13[Days To Maturity],Q$2)</f>
        <v>30374</v>
      </c>
      <c r="R14" s="67">
        <f>SUMIFS(Table13[Bid Accepted],Table13[Maturity date],"&gt;="&amp;$O14,Table13[Maturity date],"&lt;="&amp;EOMONTH($O14,0),Table13[Days To Maturity],R$2)</f>
        <v>10440</v>
      </c>
      <c r="S14" s="67">
        <f t="shared" si="0"/>
        <v>78514</v>
      </c>
      <c r="T14" s="67"/>
      <c r="U14" s="14">
        <f>SUMIFS(Table13[Bid Accepted],Table13[Date_d],"&gt;="&amp;O14,Table13[Date_d],"&lt;="&amp;EOMONTH(O14,0),Table13[Days To Maturity],U$2)</f>
        <v>40435</v>
      </c>
      <c r="V14" s="14">
        <f>SUMIFS(Table13[Bid Accepted],Table13[Date_d],"&gt;="&amp;O14,Table13[Date_d],"&lt;="&amp;EOMONTH(O14,0),Table13[Days To Maturity],V$2)</f>
        <v>35111</v>
      </c>
      <c r="W14" s="14">
        <f>SUMIFS(Table13[Bid Accepted],Table13[Date_d],"&gt;="&amp;O14,Table13[Date_d],"&lt;="&amp;EOMONTH(O14,0),Table13[Days To Maturity],W$2)</f>
        <v>6463</v>
      </c>
      <c r="X14" s="14">
        <f t="shared" si="1"/>
        <v>82009</v>
      </c>
      <c r="Y14" s="5"/>
      <c r="Z14" s="14">
        <f t="shared" si="2"/>
        <v>3495</v>
      </c>
      <c r="AA14" s="5"/>
      <c r="AB14" s="14">
        <f>SUMIFS(Table13[Coupon],Table13[Maturity date],"&gt;="&amp;$O14,Table13[Maturity date],"&lt;="&amp;EOMONTH($O14,0),Table13[Days To Maturity],AB$2)</f>
        <v>4228.28</v>
      </c>
      <c r="AC14" s="14">
        <f>SUMIFS(Table13[Coupon],Table13[Maturity date],"&gt;="&amp;$O14,Table13[Maturity date],"&lt;="&amp;EOMONTH($O14,0),Table13[Days To Maturity],AC$2)</f>
        <v>1306.5381</v>
      </c>
      <c r="AD14" s="14">
        <f>SUMIFS(Table13[Coupon],Table13[Maturity date],"&gt;="&amp;$O14,Table13[Maturity date],"&lt;="&amp;EOMONTH($O14,0),Table13[Days To Maturity],AD$2)</f>
        <v>198.81720000000001</v>
      </c>
      <c r="AE14" s="14">
        <f t="shared" si="3"/>
        <v>5733.6352999999999</v>
      </c>
      <c r="AF14" s="14"/>
      <c r="AH14" s="13">
        <v>43173</v>
      </c>
      <c r="AI14" s="78">
        <v>14000</v>
      </c>
      <c r="AJ14" s="78">
        <v>48688</v>
      </c>
      <c r="AK14" s="78">
        <v>23500</v>
      </c>
      <c r="AL14" s="78">
        <v>34688</v>
      </c>
      <c r="AM14" s="78">
        <v>9500</v>
      </c>
      <c r="AN14" s="78">
        <v>9.6999999999999993</v>
      </c>
      <c r="AO14" s="77">
        <v>0.6785714285714286</v>
      </c>
      <c r="AP14" s="77"/>
      <c r="AQ14" s="15"/>
      <c r="AR14" s="13">
        <v>43537</v>
      </c>
      <c r="AS14" s="16">
        <v>1.3333333333333333</v>
      </c>
      <c r="AT14" s="17">
        <v>1.34</v>
      </c>
      <c r="AU14" s="17">
        <v>3.20825</v>
      </c>
      <c r="AV14" s="64">
        <v>2.5846666666666667</v>
      </c>
      <c r="AW14" s="19"/>
      <c r="AX14" s="78"/>
      <c r="AY14" s="13">
        <v>43173</v>
      </c>
      <c r="AZ14" s="78" t="str">
        <f t="array" ref="AZ14">INDEX(_xlfn._xlws.FILTER(Table13[],Table13[Days To Maturity]=AZ$3),MATCH($AY14,Table13[Date_d],0),8)</f>
        <v xml:space="preserve"> -   </v>
      </c>
      <c r="BA14" s="78" t="str">
        <f t="array" ref="BA14">INDEX(_xlfn._xlws.FILTER(Table13[],Table13[Days To Maturity]=BA$3),MATCH($AY14,Table13[Date_d],0),8)</f>
        <v xml:space="preserve"> -   </v>
      </c>
      <c r="BB14" s="78">
        <f t="array" ref="BB14">INDEX(_xlfn._xlws.FILTER(Table13[],Table13[Days To Maturity]=BB$3),MATCH($AY14,Table13[Date_d],0),8)</f>
        <v>9.6999999999999993</v>
      </c>
    </row>
    <row r="15" spans="1:54" x14ac:dyDescent="0.2">
      <c r="A15" s="9">
        <v>43194</v>
      </c>
      <c r="B15" s="10" t="s">
        <v>39</v>
      </c>
      <c r="C15" s="10">
        <v>364</v>
      </c>
      <c r="D15" s="10" t="s">
        <v>20</v>
      </c>
      <c r="E15" s="14">
        <v>16000</v>
      </c>
      <c r="F15" s="18">
        <v>66060</v>
      </c>
      <c r="G15" s="18">
        <v>28000</v>
      </c>
      <c r="H15" s="33">
        <v>9.91</v>
      </c>
      <c r="I15" s="33">
        <v>9.6999999999999993</v>
      </c>
      <c r="J15" s="12">
        <f t="array" ref="J1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43559</v>
      </c>
      <c r="K15" s="59">
        <f>IFERROR(Table13[[#This Row],[Bid Accepted]]*(Table13[[#This Row],[WAYR Current]]%/364*Table13[[#This Row],[Days To Maturity]]),0)</f>
        <v>2774.8</v>
      </c>
      <c r="L15" s="41">
        <f>+Table13[[#This Row],[Bid Accepted]]-Table13[[#This Row],[Amount Offered]]</f>
        <v>12000</v>
      </c>
      <c r="M15" s="57">
        <f>+IF(Table13[[#This Row],[WAYR Last]]&gt;0,IF(Table13[[#This Row],[WAYR Current]]&gt;0,(Table13[[#This Row],[WAYR Current]]-Table13[[#This Row],[WAYR Last]]),""),"")</f>
        <v>0.21000000000000085</v>
      </c>
      <c r="N15" s="5"/>
      <c r="O15" s="67">
        <v>43831</v>
      </c>
      <c r="P15" s="67">
        <f>SUMIFS(Table13[Bid Accepted],Table13[Maturity date],"&gt;="&amp;$O15,Table13[Maturity date],"&lt;="&amp;EOMONTH($O15,0),Table13[Days To Maturity],P$2)</f>
        <v>86295</v>
      </c>
      <c r="Q15" s="67">
        <f>SUMIFS(Table13[Bid Accepted],Table13[Maturity date],"&gt;="&amp;$O15,Table13[Maturity date],"&lt;="&amp;EOMONTH($O15,0),Table13[Days To Maturity],Q$2)</f>
        <v>17666</v>
      </c>
      <c r="R15" s="67">
        <f>SUMIFS(Table13[Bid Accepted],Table13[Maturity date],"&gt;="&amp;$O15,Table13[Maturity date],"&lt;="&amp;EOMONTH($O15,0),Table13[Days To Maturity],R$2)</f>
        <v>13157</v>
      </c>
      <c r="S15" s="67">
        <f t="shared" si="0"/>
        <v>117118</v>
      </c>
      <c r="T15" s="67"/>
      <c r="U15" s="14">
        <f>SUMIFS(Table13[Bid Accepted],Table13[Date_d],"&gt;="&amp;O15,Table13[Date_d],"&lt;="&amp;EOMONTH(O15,0),Table13[Days To Maturity],U$2)</f>
        <v>105116</v>
      </c>
      <c r="V15" s="14">
        <f>SUMIFS(Table13[Bid Accepted],Table13[Date_d],"&gt;="&amp;O15,Table13[Date_d],"&lt;="&amp;EOMONTH(O15,0),Table13[Days To Maturity],V$2)</f>
        <v>19734</v>
      </c>
      <c r="W15" s="14">
        <f>SUMIFS(Table13[Bid Accepted],Table13[Date_d],"&gt;="&amp;O15,Table13[Date_d],"&lt;="&amp;EOMONTH(O15,0),Table13[Days To Maturity],W$2)</f>
        <v>2150</v>
      </c>
      <c r="X15" s="14">
        <f t="shared" si="1"/>
        <v>127000</v>
      </c>
      <c r="Y15" s="14"/>
      <c r="Z15" s="14">
        <f t="shared" si="2"/>
        <v>9882</v>
      </c>
      <c r="AA15" s="5"/>
      <c r="AB15" s="14">
        <f>SUMIFS(Table13[Coupon],Table13[Maturity date],"&gt;="&amp;$O15,Table13[Maturity date],"&lt;="&amp;EOMONTH($O15,0),Table13[Days To Maturity],AB$2)</f>
        <v>9297.0954999999994</v>
      </c>
      <c r="AC15" s="14">
        <f>SUMIFS(Table13[Coupon],Table13[Maturity date],"&gt;="&amp;$O15,Table13[Maturity date],"&lt;="&amp;EOMONTH($O15,0),Table13[Days To Maturity],AC$2)</f>
        <v>718.14020000000016</v>
      </c>
      <c r="AD15" s="14">
        <f>SUMIFS(Table13[Coupon],Table13[Maturity date],"&gt;="&amp;$O15,Table13[Maturity date],"&lt;="&amp;EOMONTH($O15,0),Table13[Days To Maturity],AD$2)</f>
        <v>248.22107499999998</v>
      </c>
      <c r="AE15" s="14">
        <f t="shared" si="3"/>
        <v>10263.456774999999</v>
      </c>
      <c r="AF15" s="14"/>
      <c r="AH15" s="13">
        <v>43180</v>
      </c>
      <c r="AI15" s="78">
        <v>15000</v>
      </c>
      <c r="AJ15" s="78">
        <v>51527</v>
      </c>
      <c r="AK15" s="78">
        <v>22000</v>
      </c>
      <c r="AL15" s="78">
        <v>36527</v>
      </c>
      <c r="AM15" s="78">
        <v>7000</v>
      </c>
      <c r="AN15" s="78">
        <v>9.66</v>
      </c>
      <c r="AO15" s="77">
        <v>0.46666666666666667</v>
      </c>
      <c r="AP15" s="77"/>
      <c r="AQ15" s="15"/>
      <c r="AR15" s="13">
        <v>43543</v>
      </c>
      <c r="AS15" s="16">
        <v>2.4500000000000002</v>
      </c>
      <c r="AT15" s="17">
        <v>2.5</v>
      </c>
      <c r="AU15" s="17">
        <v>2.84185</v>
      </c>
      <c r="AV15" s="64">
        <v>2.7807083333333331</v>
      </c>
      <c r="AW15" s="19"/>
      <c r="AX15" s="78"/>
      <c r="AY15" s="13">
        <v>43180</v>
      </c>
      <c r="AZ15" s="78" t="str">
        <f t="array" ref="AZ15">INDEX(_xlfn._xlws.FILTER(Table13[],Table13[Days To Maturity]=AZ$3),MATCH($AY15,Table13[Date_d],0),8)</f>
        <v xml:space="preserve"> -   </v>
      </c>
      <c r="BA15" s="78" t="str">
        <f t="array" ref="BA15">INDEX(_xlfn._xlws.FILTER(Table13[],Table13[Days To Maturity]=BA$3),MATCH($AY15,Table13[Date_d],0),8)</f>
        <v xml:space="preserve"> -   </v>
      </c>
      <c r="BB15" s="78">
        <f t="array" ref="BB15">INDEX(_xlfn._xlws.FILTER(Table13[],Table13[Days To Maturity]=BB$3),MATCH($AY15,Table13[Date_d],0),8)</f>
        <v>9.66</v>
      </c>
    </row>
    <row r="16" spans="1:54" x14ac:dyDescent="0.2">
      <c r="A16" s="34">
        <v>43200</v>
      </c>
      <c r="B16" s="35" t="s">
        <v>40</v>
      </c>
      <c r="C16" s="10">
        <v>364</v>
      </c>
      <c r="D16" s="10" t="s">
        <v>20</v>
      </c>
      <c r="E16" s="14">
        <v>16000</v>
      </c>
      <c r="F16" s="18">
        <v>64044</v>
      </c>
      <c r="G16" s="18">
        <v>28000</v>
      </c>
      <c r="H16" s="57">
        <v>9.7100000000000009</v>
      </c>
      <c r="I16" s="57">
        <v>9.66</v>
      </c>
      <c r="J16" s="12">
        <f t="array" ref="J1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43565</v>
      </c>
      <c r="K16" s="59">
        <f>IFERROR(Table13[[#This Row],[Bid Accepted]]*(Table13[[#This Row],[WAYR Current]]%/364*Table13[[#This Row],[Days To Maturity]]),0)</f>
        <v>2718.8</v>
      </c>
      <c r="L16" s="41">
        <f>+Table13[[#This Row],[Bid Accepted]]-Table13[[#This Row],[Amount Offered]]</f>
        <v>12000</v>
      </c>
      <c r="M16" s="57">
        <f>+IF(Table13[[#This Row],[WAYR Last]]&gt;0,IF(Table13[[#This Row],[WAYR Current]]&gt;0,(Table13[[#This Row],[WAYR Current]]-Table13[[#This Row],[WAYR Last]]),""),"")</f>
        <v>5.0000000000000711E-2</v>
      </c>
      <c r="N16" s="5"/>
      <c r="O16" s="67">
        <v>43862</v>
      </c>
      <c r="P16" s="67">
        <f>SUMIFS(Table13[Bid Accepted],Table13[Maturity date],"&gt;="&amp;$O16,Table13[Maturity date],"&lt;="&amp;EOMONTH($O16,0),Table13[Days To Maturity],P$2)</f>
        <v>86136</v>
      </c>
      <c r="Q16" s="67">
        <f>SUMIFS(Table13[Bid Accepted],Table13[Maturity date],"&gt;="&amp;$O16,Table13[Maturity date],"&lt;="&amp;EOMONTH($O16,0),Table13[Days To Maturity],Q$2)</f>
        <v>4042</v>
      </c>
      <c r="R16" s="67">
        <f>SUMIFS(Table13[Bid Accepted],Table13[Maturity date],"&gt;="&amp;$O16,Table13[Maturity date],"&lt;="&amp;EOMONTH($O16,0),Table13[Days To Maturity],R$2)</f>
        <v>16268</v>
      </c>
      <c r="S16" s="67">
        <f t="shared" si="0"/>
        <v>106446</v>
      </c>
      <c r="T16" s="67"/>
      <c r="U16" s="14">
        <f>SUMIFS(Table13[Bid Accepted],Table13[Date_d],"&gt;="&amp;O16,Table13[Date_d],"&lt;="&amp;EOMONTH(O16,0),Table13[Days To Maturity],U$2)</f>
        <v>63890</v>
      </c>
      <c r="V16" s="14">
        <f>SUMIFS(Table13[Bid Accepted],Table13[Date_d],"&gt;="&amp;O16,Table13[Date_d],"&lt;="&amp;EOMONTH(O16,0),Table13[Days To Maturity],V$2)</f>
        <v>22160</v>
      </c>
      <c r="W16" s="14">
        <f>SUMIFS(Table13[Bid Accepted],Table13[Date_d],"&gt;="&amp;O16,Table13[Date_d],"&lt;="&amp;EOMONTH(O16,0),Table13[Days To Maturity],W$2)</f>
        <v>25450</v>
      </c>
      <c r="X16" s="14">
        <f t="shared" si="1"/>
        <v>111500</v>
      </c>
      <c r="Y16" s="14"/>
      <c r="Z16" s="14">
        <f t="shared" si="2"/>
        <v>5054</v>
      </c>
      <c r="AA16" s="5"/>
      <c r="AB16" s="14">
        <f>SUMIFS(Table13[Coupon],Table13[Maturity date],"&gt;="&amp;$O16,Table13[Maturity date],"&lt;="&amp;EOMONTH($O16,0),Table13[Days To Maturity],AB$2)</f>
        <v>9217.601999999999</v>
      </c>
      <c r="AC16" s="14">
        <f>SUMIFS(Table13[Coupon],Table13[Maturity date],"&gt;="&amp;$O16,Table13[Maturity date],"&lt;="&amp;EOMONTH($O16,0),Table13[Days To Maturity],AC$2)</f>
        <v>158.20689999999999</v>
      </c>
      <c r="AD16" s="14">
        <f>SUMIFS(Table13[Coupon],Table13[Maturity date],"&gt;="&amp;$O16,Table13[Maturity date],"&lt;="&amp;EOMONTH($O16,0),Table13[Days To Maturity],AD$2)</f>
        <v>305.40340000000003</v>
      </c>
      <c r="AE16" s="14">
        <f t="shared" si="3"/>
        <v>9681.2122999999974</v>
      </c>
      <c r="AF16" s="14"/>
      <c r="AH16" s="13">
        <v>43186</v>
      </c>
      <c r="AI16" s="78">
        <v>13500</v>
      </c>
      <c r="AJ16" s="78">
        <v>35432</v>
      </c>
      <c r="AK16" s="78">
        <v>25500</v>
      </c>
      <c r="AL16" s="78">
        <v>21932</v>
      </c>
      <c r="AM16" s="78">
        <v>12000</v>
      </c>
      <c r="AN16" s="78">
        <v>9.69</v>
      </c>
      <c r="AO16" s="77">
        <v>0.88888888888888884</v>
      </c>
      <c r="AP16" s="77"/>
      <c r="AQ16" s="15"/>
      <c r="AR16" s="13">
        <v>43551</v>
      </c>
      <c r="AS16" s="16">
        <v>2.2799999999999998</v>
      </c>
      <c r="AT16" s="17">
        <v>2.2799999999999998</v>
      </c>
      <c r="AU16" s="17">
        <v>3.7343500000000001</v>
      </c>
      <c r="AV16" s="64">
        <v>3.4434800000000001</v>
      </c>
      <c r="AW16" s="19"/>
      <c r="AX16" s="78"/>
      <c r="AY16" s="13">
        <v>43186</v>
      </c>
      <c r="AZ16" s="78" t="str">
        <f t="array" ref="AZ16">INDEX(_xlfn._xlws.FILTER(Table13[],Table13[Days To Maturity]=AZ$3),MATCH($AY16,Table13[Date_d],0),8)</f>
        <v xml:space="preserve"> -   </v>
      </c>
      <c r="BA16" s="78" t="str">
        <f t="array" ref="BA16">INDEX(_xlfn._xlws.FILTER(Table13[],Table13[Days To Maturity]=BA$3),MATCH($AY16,Table13[Date_d],0),8)</f>
        <v xml:space="preserve"> -   </v>
      </c>
      <c r="BB16" s="78">
        <f t="array" ref="BB16">INDEX(_xlfn._xlws.FILTER(Table13[],Table13[Days To Maturity]=BB$3),MATCH($AY16,Table13[Date_d],0),8)</f>
        <v>9.69</v>
      </c>
    </row>
    <row r="17" spans="1:54" x14ac:dyDescent="0.2">
      <c r="A17" s="9">
        <v>43215</v>
      </c>
      <c r="B17" s="10" t="s">
        <v>41</v>
      </c>
      <c r="C17" s="10">
        <v>364</v>
      </c>
      <c r="D17" s="10" t="s">
        <v>20</v>
      </c>
      <c r="E17" s="14">
        <v>20000</v>
      </c>
      <c r="F17" s="18">
        <v>69677</v>
      </c>
      <c r="G17" s="18">
        <v>25000</v>
      </c>
      <c r="H17" s="33">
        <v>9.59</v>
      </c>
      <c r="I17" s="33">
        <v>9.69</v>
      </c>
      <c r="J17" s="12">
        <f t="array" ref="J1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43580</v>
      </c>
      <c r="K17" s="59">
        <f>IFERROR(Table13[[#This Row],[Bid Accepted]]*(Table13[[#This Row],[WAYR Current]]%/364*Table13[[#This Row],[Days To Maturity]]),0)</f>
        <v>2397.5</v>
      </c>
      <c r="L17" s="41">
        <f>+Table13[[#This Row],[Bid Accepted]]-Table13[[#This Row],[Amount Offered]]</f>
        <v>5000</v>
      </c>
      <c r="M17" s="57">
        <f>+IF(Table13[[#This Row],[WAYR Last]]&gt;0,IF(Table13[[#This Row],[WAYR Current]]&gt;0,(Table13[[#This Row],[WAYR Current]]-Table13[[#This Row],[WAYR Last]]),""),"")</f>
        <v>-9.9999999999999645E-2</v>
      </c>
      <c r="N17" s="5"/>
      <c r="O17" s="67">
        <v>43891</v>
      </c>
      <c r="P17" s="67">
        <f>SUMIFS(Table13[Bid Accepted],Table13[Maturity date],"&gt;="&amp;$O17,Table13[Maturity date],"&lt;="&amp;EOMONTH($O17,0),Table13[Days To Maturity],P$2)</f>
        <v>85995</v>
      </c>
      <c r="Q17" s="67">
        <f>SUMIFS(Table13[Bid Accepted],Table13[Maturity date],"&gt;="&amp;$O17,Table13[Maturity date],"&lt;="&amp;EOMONTH($O17,0),Table13[Days To Maturity],Q$2)</f>
        <v>12444</v>
      </c>
      <c r="R17" s="67">
        <f>SUMIFS(Table13[Bid Accepted],Table13[Maturity date],"&gt;="&amp;$O17,Table13[Maturity date],"&lt;="&amp;EOMONTH($O17,0),Table13[Days To Maturity],R$2)</f>
        <v>6463</v>
      </c>
      <c r="S17" s="67">
        <f t="shared" si="0"/>
        <v>104902</v>
      </c>
      <c r="T17" s="67"/>
      <c r="U17" s="14">
        <f>SUMIFS(Table13[Bid Accepted],Table13[Date_d],"&gt;="&amp;O17,Table13[Date_d],"&lt;="&amp;EOMONTH(O17,0),Table13[Days To Maturity],U$2)</f>
        <v>53685</v>
      </c>
      <c r="V17" s="14">
        <f>SUMIFS(Table13[Bid Accepted],Table13[Date_d],"&gt;="&amp;O17,Table13[Date_d],"&lt;="&amp;EOMONTH(O17,0),Table13[Days To Maturity],V$2)</f>
        <v>28991</v>
      </c>
      <c r="W17" s="14">
        <f>SUMIFS(Table13[Bid Accepted],Table13[Date_d],"&gt;="&amp;O17,Table13[Date_d],"&lt;="&amp;EOMONTH(O17,0),Table13[Days To Maturity],W$2)</f>
        <v>32324</v>
      </c>
      <c r="X17" s="14">
        <f t="shared" si="1"/>
        <v>115000</v>
      </c>
      <c r="Y17" s="14"/>
      <c r="Z17" s="14">
        <f t="shared" si="2"/>
        <v>10098</v>
      </c>
      <c r="AA17" s="5"/>
      <c r="AB17" s="14">
        <f>SUMIFS(Table13[Coupon],Table13[Maturity date],"&gt;="&amp;$O17,Table13[Maturity date],"&lt;="&amp;EOMONTH($O17,0),Table13[Days To Maturity],AB$2)</f>
        <v>9064.6710000000003</v>
      </c>
      <c r="AC17" s="14">
        <f>SUMIFS(Table13[Coupon],Table13[Maturity date],"&gt;="&amp;$O17,Table13[Maturity date],"&lt;="&amp;EOMONTH($O17,0),Table13[Days To Maturity],AC$2)</f>
        <v>482.20500000000004</v>
      </c>
      <c r="AD17" s="14">
        <f>SUMIFS(Table13[Coupon],Table13[Maturity date],"&gt;="&amp;$O17,Table13[Maturity date],"&lt;="&amp;EOMONTH($O17,0),Table13[Days To Maturity],AD$2)</f>
        <v>120.64727500000001</v>
      </c>
      <c r="AE17" s="14">
        <f t="shared" si="3"/>
        <v>9667.5232749999996</v>
      </c>
      <c r="AF17" s="14"/>
      <c r="AH17" s="13">
        <v>43194</v>
      </c>
      <c r="AI17" s="78">
        <v>16000</v>
      </c>
      <c r="AJ17" s="78">
        <v>66060</v>
      </c>
      <c r="AK17" s="78">
        <v>28000</v>
      </c>
      <c r="AL17" s="78">
        <v>50060</v>
      </c>
      <c r="AM17" s="78">
        <v>12000</v>
      </c>
      <c r="AN17" s="78">
        <v>9.91</v>
      </c>
      <c r="AO17" s="77">
        <v>0.75</v>
      </c>
      <c r="AP17" s="77"/>
      <c r="AQ17" s="15"/>
      <c r="AR17" s="13">
        <v>43558</v>
      </c>
      <c r="AS17" s="16">
        <v>2.35</v>
      </c>
      <c r="AT17" s="17">
        <v>2.4630000000000001</v>
      </c>
      <c r="AU17" s="17">
        <v>4.3527500000000003</v>
      </c>
      <c r="AV17" s="64">
        <v>3.7966785714285716</v>
      </c>
      <c r="AW17" s="19"/>
      <c r="AX17" s="78"/>
      <c r="AY17" s="13">
        <v>43194</v>
      </c>
      <c r="AZ17" s="78" t="str">
        <f t="array" ref="AZ17">INDEX(_xlfn._xlws.FILTER(Table13[],Table13[Days To Maturity]=AZ$3),MATCH($AY17,Table13[Date_d],0),8)</f>
        <v xml:space="preserve"> -   </v>
      </c>
      <c r="BA17" s="78" t="str">
        <f t="array" ref="BA17">INDEX(_xlfn._xlws.FILTER(Table13[],Table13[Days To Maturity]=BA$3),MATCH($AY17,Table13[Date_d],0),8)</f>
        <v xml:space="preserve"> -   </v>
      </c>
      <c r="BB17" s="78">
        <f t="array" ref="BB17">INDEX(_xlfn._xlws.FILTER(Table13[],Table13[Days To Maturity]=BB$3),MATCH($AY17,Table13[Date_d],0),8)</f>
        <v>9.91</v>
      </c>
    </row>
    <row r="18" spans="1:54" x14ac:dyDescent="0.2">
      <c r="A18" s="34">
        <v>43222</v>
      </c>
      <c r="B18" s="35" t="s">
        <v>42</v>
      </c>
      <c r="C18" s="35">
        <v>364</v>
      </c>
      <c r="D18" s="35" t="s">
        <v>20</v>
      </c>
      <c r="E18" s="36">
        <v>19000</v>
      </c>
      <c r="F18" s="36">
        <v>55293</v>
      </c>
      <c r="G18" s="36">
        <v>28000</v>
      </c>
      <c r="H18" s="57">
        <v>9.61</v>
      </c>
      <c r="I18" s="57">
        <v>9.91</v>
      </c>
      <c r="J18" s="32">
        <f t="array" ref="J1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43587</v>
      </c>
      <c r="K18" s="66">
        <f>IFERROR(Table13[[#This Row],[Bid Accepted]]*(Table13[[#This Row],[WAYR Current]]%/364*Table13[[#This Row],[Days To Maturity]]),0)</f>
        <v>2690.8</v>
      </c>
      <c r="L18" s="41">
        <f>+Table13[[#This Row],[Bid Accepted]]-Table13[[#This Row],[Amount Offered]]</f>
        <v>9000</v>
      </c>
      <c r="M18" s="57">
        <f>+IF(Table13[[#This Row],[WAYR Last]]&gt;0,IF(Table13[[#This Row],[WAYR Current]]&gt;0,(Table13[[#This Row],[WAYR Current]]-Table13[[#This Row],[WAYR Last]]),""),"")</f>
        <v>-0.30000000000000071</v>
      </c>
      <c r="N18" s="5"/>
      <c r="O18" s="67">
        <v>43922</v>
      </c>
      <c r="P18" s="67">
        <f>SUMIFS(Table13[Bid Accepted],Table13[Maturity date],"&gt;="&amp;$O18,Table13[Maturity date],"&lt;="&amp;EOMONTH($O18,0),Table13[Days To Maturity],P$2)</f>
        <v>84000</v>
      </c>
      <c r="Q18" s="67">
        <f>SUMIFS(Table13[Bid Accepted],Table13[Maturity date],"&gt;="&amp;$O18,Table13[Maturity date],"&lt;="&amp;EOMONTH($O18,0),Table13[Days To Maturity],Q$2)</f>
        <v>28315</v>
      </c>
      <c r="R18" s="67">
        <f>SUMIFS(Table13[Bid Accepted],Table13[Maturity date],"&gt;="&amp;$O18,Table13[Maturity date],"&lt;="&amp;EOMONTH($O18,0),Table13[Days To Maturity],R$2)</f>
        <v>2150</v>
      </c>
      <c r="S18" s="67">
        <f t="shared" si="0"/>
        <v>114465</v>
      </c>
      <c r="T18" s="67"/>
      <c r="U18" s="14">
        <f>SUMIFS(Table13[Bid Accepted],Table13[Date_d],"&gt;="&amp;O18,Table13[Date_d],"&lt;="&amp;EOMONTH(O18,0),Table13[Days To Maturity],U$2)</f>
        <v>24857</v>
      </c>
      <c r="V18" s="14">
        <f>SUMIFS(Table13[Bid Accepted],Table13[Date_d],"&gt;="&amp;O18,Table13[Date_d],"&lt;="&amp;EOMONTH(O18,0),Table13[Days To Maturity],V$2)</f>
        <v>34284</v>
      </c>
      <c r="W18" s="14">
        <f>SUMIFS(Table13[Bid Accepted],Table13[Date_d],"&gt;="&amp;O18,Table13[Date_d],"&lt;="&amp;EOMONTH(O18,0),Table13[Days To Maturity],W$2)</f>
        <v>35145</v>
      </c>
      <c r="X18" s="14">
        <f t="shared" si="1"/>
        <v>94286</v>
      </c>
      <c r="Y18" s="14"/>
      <c r="Z18" s="14">
        <f t="shared" si="2"/>
        <v>-20179</v>
      </c>
      <c r="AA18" s="5"/>
      <c r="AB18" s="14">
        <f>SUMIFS(Table13[Coupon],Table13[Maturity date],"&gt;="&amp;$O18,Table13[Maturity date],"&lt;="&amp;EOMONTH($O18,0),Table13[Days To Maturity],AB$2)</f>
        <v>8366.4000000000015</v>
      </c>
      <c r="AC18" s="14">
        <f>SUMIFS(Table13[Coupon],Table13[Maturity date],"&gt;="&amp;$O18,Table13[Maturity date],"&lt;="&amp;EOMONTH($O18,0),Table13[Days To Maturity],AC$2)</f>
        <v>1088.3669500000001</v>
      </c>
      <c r="AD18" s="14">
        <f>SUMIFS(Table13[Coupon],Table13[Maturity date],"&gt;="&amp;$O18,Table13[Maturity date],"&lt;="&amp;EOMONTH($O18,0),Table13[Days To Maturity],AD$2)</f>
        <v>40.46875</v>
      </c>
      <c r="AE18" s="14">
        <f t="shared" si="3"/>
        <v>9495.2357000000011</v>
      </c>
      <c r="AF18" s="14"/>
      <c r="AH18" s="13">
        <v>43200</v>
      </c>
      <c r="AI18" s="78">
        <v>16000</v>
      </c>
      <c r="AJ18" s="78">
        <v>64044</v>
      </c>
      <c r="AK18" s="78">
        <v>28000</v>
      </c>
      <c r="AL18" s="78">
        <v>48044</v>
      </c>
      <c r="AM18" s="78">
        <v>12000</v>
      </c>
      <c r="AN18" s="78">
        <v>9.7100000000000009</v>
      </c>
      <c r="AO18" s="77">
        <v>0.75</v>
      </c>
      <c r="AP18" s="77"/>
      <c r="AQ18" s="15"/>
      <c r="AR18" s="13">
        <v>43565</v>
      </c>
      <c r="AS18" s="16">
        <v>2.31</v>
      </c>
      <c r="AT18" s="17">
        <v>2.621</v>
      </c>
      <c r="AU18" s="17">
        <v>3.5848</v>
      </c>
      <c r="AV18" s="64">
        <v>3.1370800000000001</v>
      </c>
      <c r="AW18" s="19"/>
      <c r="AX18" s="78"/>
      <c r="AY18" s="13">
        <v>43200</v>
      </c>
      <c r="AZ18" s="78" t="str">
        <f t="array" ref="AZ18">INDEX(_xlfn._xlws.FILTER(Table13[],Table13[Days To Maturity]=AZ$3),MATCH($AY18,Table13[Date_d],0),8)</f>
        <v xml:space="preserve"> -   </v>
      </c>
      <c r="BA18" s="78" t="str">
        <f t="array" ref="BA18">INDEX(_xlfn._xlws.FILTER(Table13[],Table13[Days To Maturity]=BA$3),MATCH($AY18,Table13[Date_d],0),8)</f>
        <v xml:space="preserve"> -   </v>
      </c>
      <c r="BB18" s="78">
        <f t="array" ref="BB18">INDEX(_xlfn._xlws.FILTER(Table13[],Table13[Days To Maturity]=BB$3),MATCH($AY18,Table13[Date_d],0),8)</f>
        <v>9.7100000000000009</v>
      </c>
    </row>
    <row r="19" spans="1:54" x14ac:dyDescent="0.2">
      <c r="A19" s="9">
        <v>43229</v>
      </c>
      <c r="B19" s="10" t="s">
        <v>43</v>
      </c>
      <c r="C19" s="10">
        <v>364</v>
      </c>
      <c r="D19" s="10" t="s">
        <v>20</v>
      </c>
      <c r="E19" s="14">
        <v>16000</v>
      </c>
      <c r="F19" s="14">
        <v>42396</v>
      </c>
      <c r="G19" s="14">
        <v>21034</v>
      </c>
      <c r="H19" s="33">
        <v>9.65</v>
      </c>
      <c r="I19" s="33">
        <v>9.7100000000000009</v>
      </c>
      <c r="J19" s="32">
        <f t="array" ref="J1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43594</v>
      </c>
      <c r="K19" s="59">
        <f>IFERROR(Table13[[#This Row],[Bid Accepted]]*(Table13[[#This Row],[WAYR Current]]%/364*Table13[[#This Row],[Days To Maturity]]),0)</f>
        <v>2029.7809999999999</v>
      </c>
      <c r="L19" s="41">
        <f>+Table13[[#This Row],[Bid Accepted]]-Table13[[#This Row],[Amount Offered]]</f>
        <v>5034</v>
      </c>
      <c r="M19" s="57">
        <f>+IF(Table13[[#This Row],[WAYR Last]]&gt;0,IF(Table13[[#This Row],[WAYR Current]]&gt;0,(Table13[[#This Row],[WAYR Current]]-Table13[[#This Row],[WAYR Last]]),""),"")</f>
        <v>-6.0000000000000497E-2</v>
      </c>
      <c r="N19" s="5"/>
      <c r="O19" s="67">
        <v>43952</v>
      </c>
      <c r="P19" s="67">
        <f>SUMIFS(Table13[Bid Accepted],Table13[Maturity date],"&gt;="&amp;$O19,Table13[Maturity date],"&lt;="&amp;EOMONTH($O19,0),Table13[Days To Maturity],P$2)</f>
        <v>56500</v>
      </c>
      <c r="Q19" s="67">
        <f>SUMIFS(Table13[Bid Accepted],Table13[Maturity date],"&gt;="&amp;$O19,Table13[Maturity date],"&lt;="&amp;EOMONTH($O19,0),Table13[Days To Maturity],Q$2)</f>
        <v>13374</v>
      </c>
      <c r="R19" s="67">
        <f>SUMIFS(Table13[Bid Accepted],Table13[Maturity date],"&gt;="&amp;$O19,Table13[Maturity date],"&lt;="&amp;EOMONTH($O19,0),Table13[Days To Maturity],R$2)</f>
        <v>25450</v>
      </c>
      <c r="S19" s="67">
        <f t="shared" si="0"/>
        <v>95324</v>
      </c>
      <c r="T19" s="67"/>
      <c r="U19" s="14">
        <f>SUMIFS(Table13[Bid Accepted],Table13[Date_d],"&gt;="&amp;O19,Table13[Date_d],"&lt;="&amp;EOMONTH(O19,0),Table13[Days To Maturity],U$2)</f>
        <v>44019</v>
      </c>
      <c r="V19" s="14">
        <f>SUMIFS(Table13[Bid Accepted],Table13[Date_d],"&gt;="&amp;O19,Table13[Date_d],"&lt;="&amp;EOMONTH(O19,0),Table13[Days To Maturity],V$2)</f>
        <v>31648</v>
      </c>
      <c r="W19" s="14">
        <f>SUMIFS(Table13[Bid Accepted],Table13[Date_d],"&gt;="&amp;O19,Table13[Date_d],"&lt;="&amp;EOMONTH(O19,0),Table13[Days To Maturity],W$2)</f>
        <v>33598</v>
      </c>
      <c r="X19" s="14">
        <f t="shared" si="1"/>
        <v>109265</v>
      </c>
      <c r="Y19" s="14"/>
      <c r="Z19" s="14">
        <f t="shared" si="2"/>
        <v>13941</v>
      </c>
      <c r="AA19" s="5"/>
      <c r="AB19" s="14">
        <f>SUMIFS(Table13[Coupon],Table13[Maturity date],"&gt;="&amp;$O19,Table13[Maturity date],"&lt;="&amp;EOMONTH($O19,0),Table13[Days To Maturity],AB$2)</f>
        <v>5137.7000000000007</v>
      </c>
      <c r="AC19" s="14">
        <f>SUMIFS(Table13[Coupon],Table13[Maturity date],"&gt;="&amp;$O19,Table13[Maturity date],"&lt;="&amp;EOMONTH($O19,0),Table13[Days To Maturity],AC$2)</f>
        <v>512.21789999999999</v>
      </c>
      <c r="AD19" s="14">
        <f>SUMIFS(Table13[Coupon],Table13[Maturity date],"&gt;="&amp;$O19,Table13[Maturity date],"&lt;="&amp;EOMONTH($O19,0),Table13[Days To Maturity],AD$2)</f>
        <v>470.80499999999995</v>
      </c>
      <c r="AE19" s="14">
        <f t="shared" si="3"/>
        <v>6120.7229000000007</v>
      </c>
      <c r="AF19" s="14"/>
      <c r="AH19" s="13">
        <v>43215</v>
      </c>
      <c r="AI19" s="78">
        <v>20000</v>
      </c>
      <c r="AJ19" s="78">
        <v>69677</v>
      </c>
      <c r="AK19" s="78">
        <v>25000</v>
      </c>
      <c r="AL19" s="78">
        <v>49677</v>
      </c>
      <c r="AM19" s="78">
        <v>5000</v>
      </c>
      <c r="AN19" s="78">
        <v>9.59</v>
      </c>
      <c r="AO19" s="77">
        <v>0.25</v>
      </c>
      <c r="AP19" s="77"/>
      <c r="AQ19" s="15"/>
      <c r="AR19" s="13">
        <v>43571</v>
      </c>
      <c r="AS19" s="16">
        <v>2.35</v>
      </c>
      <c r="AT19" s="17">
        <v>2.3208000000000002</v>
      </c>
      <c r="AU19" s="17">
        <v>3.6635333333333335</v>
      </c>
      <c r="AV19" s="64">
        <v>3.1648749999999999</v>
      </c>
      <c r="AW19" s="19"/>
      <c r="AX19" s="78"/>
      <c r="AY19" s="13">
        <v>43215</v>
      </c>
      <c r="AZ19" s="78" t="str">
        <f t="array" ref="AZ19">INDEX(_xlfn._xlws.FILTER(Table13[],Table13[Days To Maturity]=AZ$3),MATCH($AY19,Table13[Date_d],0),8)</f>
        <v xml:space="preserve"> -   </v>
      </c>
      <c r="BA19" s="78">
        <f t="array" ref="BA19">INDEX(_xlfn._xlws.FILTER(Table13[],Table13[Days To Maturity]=BA$3),MATCH($AY19,Table13[Date_d],0),8)</f>
        <v>9.75</v>
      </c>
      <c r="BB19" s="78">
        <f t="array" ref="BB19">INDEX(_xlfn._xlws.FILTER(Table13[],Table13[Days To Maturity]=BB$3),MATCH($AY19,Table13[Date_d],0),8)</f>
        <v>9.59</v>
      </c>
    </row>
    <row r="20" spans="1:54" x14ac:dyDescent="0.2">
      <c r="A20" s="34">
        <v>43236</v>
      </c>
      <c r="B20" s="35" t="s">
        <v>44</v>
      </c>
      <c r="C20" s="35">
        <v>364</v>
      </c>
      <c r="D20" s="35" t="s">
        <v>20</v>
      </c>
      <c r="E20" s="36">
        <v>14000</v>
      </c>
      <c r="F20" s="36">
        <v>45321</v>
      </c>
      <c r="G20" s="36">
        <v>21298</v>
      </c>
      <c r="H20" s="57">
        <v>9.6999999999999993</v>
      </c>
      <c r="I20" s="57">
        <v>9.59</v>
      </c>
      <c r="J20" s="32">
        <f t="array" ref="J2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43601</v>
      </c>
      <c r="K20" s="66">
        <f>IFERROR(Table13[[#This Row],[Bid Accepted]]*(Table13[[#This Row],[WAYR Current]]%/364*Table13[[#This Row],[Days To Maturity]]),0)</f>
        <v>2065.9059999999999</v>
      </c>
      <c r="L20" s="41">
        <f>+Table13[[#This Row],[Bid Accepted]]-Table13[[#This Row],[Amount Offered]]</f>
        <v>7298</v>
      </c>
      <c r="M20" s="57">
        <f>+IF(Table13[[#This Row],[WAYR Last]]&gt;0,IF(Table13[[#This Row],[WAYR Current]]&gt;0,(Table13[[#This Row],[WAYR Current]]-Table13[[#This Row],[WAYR Last]]),""),"")</f>
        <v>0.10999999999999943</v>
      </c>
      <c r="N20" s="5"/>
      <c r="O20" s="67">
        <v>43983</v>
      </c>
      <c r="P20" s="67">
        <f>SUMIFS(Table13[Bid Accepted],Table13[Maturity date],"&gt;="&amp;$O20,Table13[Maturity date],"&lt;="&amp;EOMONTH($O20,0),Table13[Days To Maturity],P$2)</f>
        <v>24727</v>
      </c>
      <c r="Q20" s="67">
        <f>SUMIFS(Table13[Bid Accepted],Table13[Maturity date],"&gt;="&amp;$O20,Table13[Maturity date],"&lt;="&amp;EOMONTH($O20,0),Table13[Days To Maturity],Q$2)</f>
        <v>35111</v>
      </c>
      <c r="R20" s="67">
        <f>SUMIFS(Table13[Bid Accepted],Table13[Maturity date],"&gt;="&amp;$O20,Table13[Maturity date],"&lt;="&amp;EOMONTH($O20,0),Table13[Days To Maturity],R$2)</f>
        <v>32324</v>
      </c>
      <c r="S20" s="67">
        <f t="shared" si="0"/>
        <v>92162</v>
      </c>
      <c r="T20" s="67"/>
      <c r="U20" s="14">
        <f>SUMIFS(Table13[Bid Accepted],Table13[Date_d],"&gt;="&amp;O20,Table13[Date_d],"&lt;="&amp;EOMONTH(O20,0),Table13[Days To Maturity],U$2)</f>
        <v>46540</v>
      </c>
      <c r="V20" s="14">
        <f>SUMIFS(Table13[Bid Accepted],Table13[Date_d],"&gt;="&amp;O20,Table13[Date_d],"&lt;="&amp;EOMONTH(O20,0),Table13[Days To Maturity],V$2)</f>
        <v>22923</v>
      </c>
      <c r="W20" s="14">
        <f>SUMIFS(Table13[Bid Accepted],Table13[Date_d],"&gt;="&amp;O20,Table13[Date_d],"&lt;="&amp;EOMONTH(O20,0),Table13[Days To Maturity],W$2)</f>
        <v>22200</v>
      </c>
      <c r="X20" s="14">
        <f t="shared" si="1"/>
        <v>91663</v>
      </c>
      <c r="Y20" s="14"/>
      <c r="Z20" s="14">
        <f t="shared" si="2"/>
        <v>-499</v>
      </c>
      <c r="AA20" s="5"/>
      <c r="AB20" s="14">
        <f>SUMIFS(Table13[Coupon],Table13[Maturity date],"&gt;="&amp;$O20,Table13[Maturity date],"&lt;="&amp;EOMONTH($O20,0),Table13[Days To Maturity],AB$2)</f>
        <v>2178.6576</v>
      </c>
      <c r="AC20" s="14">
        <f>SUMIFS(Table13[Coupon],Table13[Maturity date],"&gt;="&amp;$O20,Table13[Maturity date],"&lt;="&amp;EOMONTH($O20,0),Table13[Days To Maturity],AC$2)</f>
        <v>1367.9698999999998</v>
      </c>
      <c r="AD20" s="14">
        <f>SUMIFS(Table13[Coupon],Table13[Maturity date],"&gt;="&amp;$O20,Table13[Maturity date],"&lt;="&amp;EOMONTH($O20,0),Table13[Days To Maturity],AD$2)</f>
        <v>588.63959999999997</v>
      </c>
      <c r="AE20" s="14">
        <f t="shared" si="3"/>
        <v>4135.2670999999991</v>
      </c>
      <c r="AF20" s="14"/>
      <c r="AH20" s="13">
        <v>43222</v>
      </c>
      <c r="AI20" s="78">
        <v>19000</v>
      </c>
      <c r="AJ20" s="78">
        <v>55293</v>
      </c>
      <c r="AK20" s="78">
        <v>28000</v>
      </c>
      <c r="AL20" s="78">
        <v>36293</v>
      </c>
      <c r="AM20" s="78">
        <v>9000</v>
      </c>
      <c r="AN20" s="78">
        <v>9.61</v>
      </c>
      <c r="AO20" s="77">
        <v>0.47368421052631576</v>
      </c>
      <c r="AP20" s="77"/>
      <c r="AQ20" s="15"/>
      <c r="AR20" s="13">
        <v>43579</v>
      </c>
      <c r="AS20" s="16">
        <v>2.1</v>
      </c>
      <c r="AT20" s="17">
        <v>2.1</v>
      </c>
      <c r="AU20" s="17">
        <v>2.8301249999999998</v>
      </c>
      <c r="AV20" s="64">
        <v>2.5672799999999998</v>
      </c>
      <c r="AW20" s="19"/>
      <c r="AX20" s="78"/>
      <c r="AY20" s="13">
        <v>43222</v>
      </c>
      <c r="AZ20" s="78" t="str">
        <f t="array" ref="AZ20">INDEX(_xlfn._xlws.FILTER(Table13[],Table13[Days To Maturity]=AZ$3),MATCH($AY20,Table13[Date_d],0),8)</f>
        <v xml:space="preserve"> -   </v>
      </c>
      <c r="BA20" s="78" t="str">
        <f t="array" ref="BA20">INDEX(_xlfn._xlws.FILTER(Table13[],Table13[Days To Maturity]=BA$3),MATCH($AY20,Table13[Date_d],0),8)</f>
        <v xml:space="preserve"> -   </v>
      </c>
      <c r="BB20" s="78">
        <f t="array" ref="BB20">INDEX(_xlfn._xlws.FILTER(Table13[],Table13[Days To Maturity]=BB$3),MATCH($AY20,Table13[Date_d],0),8)</f>
        <v>9.61</v>
      </c>
    </row>
    <row r="21" spans="1:54" x14ac:dyDescent="0.2">
      <c r="A21" s="9">
        <v>43243</v>
      </c>
      <c r="B21" s="10" t="s">
        <v>45</v>
      </c>
      <c r="C21" s="10">
        <v>364</v>
      </c>
      <c r="D21" s="10" t="s">
        <v>20</v>
      </c>
      <c r="E21" s="14">
        <v>12000</v>
      </c>
      <c r="F21" s="18">
        <v>36887</v>
      </c>
      <c r="G21" s="18">
        <v>16149</v>
      </c>
      <c r="H21" s="37">
        <v>9.73</v>
      </c>
      <c r="I21" s="37">
        <v>9.61</v>
      </c>
      <c r="J21" s="32">
        <f t="array" ref="J2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43608</v>
      </c>
      <c r="K21" s="59">
        <f>IFERROR(Table13[[#This Row],[Bid Accepted]]*(Table13[[#This Row],[WAYR Current]]%/364*Table13[[#This Row],[Days To Maturity]]),0)</f>
        <v>1571.2976999999998</v>
      </c>
      <c r="L21" s="41">
        <f>+Table13[[#This Row],[Bid Accepted]]-Table13[[#This Row],[Amount Offered]]</f>
        <v>4149</v>
      </c>
      <c r="M21" s="57">
        <f>+IF(Table13[[#This Row],[WAYR Last]]&gt;0,IF(Table13[[#This Row],[WAYR Current]]&gt;0,(Table13[[#This Row],[WAYR Current]]-Table13[[#This Row],[WAYR Last]]),""),"")</f>
        <v>0.12000000000000099</v>
      </c>
      <c r="N21" s="5"/>
      <c r="O21" s="67">
        <v>44013</v>
      </c>
      <c r="P21" s="67">
        <f>SUMIFS(Table13[Bid Accepted],Table13[Maturity date],"&gt;="&amp;$O21,Table13[Maturity date],"&lt;="&amp;EOMONTH($O21,0),Table13[Days To Maturity],P$2)</f>
        <v>75334</v>
      </c>
      <c r="Q21" s="67">
        <f>SUMIFS(Table13[Bid Accepted],Table13[Maturity date],"&gt;="&amp;$O21,Table13[Maturity date],"&lt;="&amp;EOMONTH($O21,0),Table13[Days To Maturity],Q$2)</f>
        <v>19734</v>
      </c>
      <c r="R21" s="67">
        <f>SUMIFS(Table13[Bid Accepted],Table13[Maturity date],"&gt;="&amp;$O21,Table13[Maturity date],"&lt;="&amp;EOMONTH($O21,0),Table13[Days To Maturity],R$2)</f>
        <v>35145</v>
      </c>
      <c r="S21" s="67">
        <f t="shared" si="0"/>
        <v>130213</v>
      </c>
      <c r="T21" s="67"/>
      <c r="U21" s="14">
        <f>SUMIFS(Table13[Bid Accepted],Table13[Date_d],"&gt;="&amp;O21,Table13[Date_d],"&lt;="&amp;EOMONTH(O21,0),Table13[Days To Maturity],U$2)</f>
        <v>81781</v>
      </c>
      <c r="V21" s="14">
        <f>SUMIFS(Table13[Bid Accepted],Table13[Date_d],"&gt;="&amp;O21,Table13[Date_d],"&lt;="&amp;EOMONTH(O21,0),Table13[Days To Maturity],V$2)</f>
        <v>31211</v>
      </c>
      <c r="W21" s="14">
        <f>SUMIFS(Table13[Bid Accepted],Table13[Date_d],"&gt;="&amp;O21,Table13[Date_d],"&lt;="&amp;EOMONTH(O21,0),Table13[Days To Maturity],W$2)</f>
        <v>21071</v>
      </c>
      <c r="X21" s="14">
        <f t="shared" si="1"/>
        <v>134063</v>
      </c>
      <c r="Y21" s="14"/>
      <c r="Z21" s="14">
        <f t="shared" si="2"/>
        <v>3850</v>
      </c>
      <c r="AA21" s="5"/>
      <c r="AB21" s="14">
        <f>SUMIFS(Table13[Coupon],Table13[Maturity date],"&gt;="&amp;$O21,Table13[Maturity date],"&lt;="&amp;EOMONTH($O21,0),Table13[Days To Maturity],AB$2)</f>
        <v>6350.2214000000004</v>
      </c>
      <c r="AC21" s="14">
        <f>SUMIFS(Table13[Coupon],Table13[Maturity date],"&gt;="&amp;$O21,Table13[Maturity date],"&lt;="&amp;EOMONTH($O21,0),Table13[Days To Maturity],AC$2)</f>
        <v>801.37225000000012</v>
      </c>
      <c r="AD21" s="14">
        <f>SUMIFS(Table13[Coupon],Table13[Maturity date],"&gt;="&amp;$O21,Table13[Maturity date],"&lt;="&amp;EOMONTH($O21,0),Table13[Days To Maturity],AD$2)</f>
        <v>593.82187500000009</v>
      </c>
      <c r="AE21" s="14">
        <f t="shared" si="3"/>
        <v>7745.4155250000003</v>
      </c>
      <c r="AF21" s="14"/>
      <c r="AH21" s="13">
        <v>43229</v>
      </c>
      <c r="AI21" s="78">
        <v>16000</v>
      </c>
      <c r="AJ21" s="78">
        <v>42396</v>
      </c>
      <c r="AK21" s="78">
        <v>21034</v>
      </c>
      <c r="AL21" s="78">
        <v>26396</v>
      </c>
      <c r="AM21" s="78">
        <v>5034</v>
      </c>
      <c r="AN21" s="78">
        <v>9.65</v>
      </c>
      <c r="AO21" s="77">
        <v>0.31462499999999999</v>
      </c>
      <c r="AP21" s="77"/>
      <c r="AQ21" s="15"/>
      <c r="AR21" s="13">
        <v>43585</v>
      </c>
      <c r="AS21" s="16">
        <v>2.2166666666666668</v>
      </c>
      <c r="AT21" s="17">
        <v>2.1321666666666665</v>
      </c>
      <c r="AU21" s="17">
        <v>3.7739444444444445</v>
      </c>
      <c r="AV21" s="64">
        <v>3.2360740740740739</v>
      </c>
      <c r="AW21" s="19"/>
      <c r="AX21" s="78"/>
      <c r="AY21" s="13">
        <v>43229</v>
      </c>
      <c r="AZ21" s="78">
        <f t="array" ref="AZ21">INDEX(_xlfn._xlws.FILTER(Table13[],Table13[Days To Maturity]=AZ$3),MATCH($AY21,Table13[Date_d],0),8)</f>
        <v>9.5500000000000007</v>
      </c>
      <c r="BA21" s="78" t="str">
        <f t="array" ref="BA21">INDEX(_xlfn._xlws.FILTER(Table13[],Table13[Days To Maturity]=BA$3),MATCH($AY21,Table13[Date_d],0),8)</f>
        <v xml:space="preserve"> -   </v>
      </c>
      <c r="BB21" s="78">
        <f t="array" ref="BB21">INDEX(_xlfn._xlws.FILTER(Table13[],Table13[Days To Maturity]=BB$3),MATCH($AY21,Table13[Date_d],0),8)</f>
        <v>9.65</v>
      </c>
    </row>
    <row r="22" spans="1:54" x14ac:dyDescent="0.2">
      <c r="A22" s="34">
        <v>43250</v>
      </c>
      <c r="B22" s="35" t="s">
        <v>46</v>
      </c>
      <c r="C22" s="35">
        <v>364</v>
      </c>
      <c r="D22" s="35" t="s">
        <v>20</v>
      </c>
      <c r="E22" s="36">
        <v>5000</v>
      </c>
      <c r="F22" s="38">
        <v>47262</v>
      </c>
      <c r="G22" s="38">
        <v>8434</v>
      </c>
      <c r="H22" s="39">
        <v>9.6199999999999992</v>
      </c>
      <c r="I22" s="39">
        <v>9.65</v>
      </c>
      <c r="J22" s="32">
        <f t="array" ref="J2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43615</v>
      </c>
      <c r="K22" s="66">
        <f>IFERROR(Table13[[#This Row],[Bid Accepted]]*(Table13[[#This Row],[WAYR Current]]%/364*Table13[[#This Row],[Days To Maturity]]),0)</f>
        <v>811.35079999999982</v>
      </c>
      <c r="L22" s="41">
        <f>+Table13[[#This Row],[Bid Accepted]]-Table13[[#This Row],[Amount Offered]]</f>
        <v>3434</v>
      </c>
      <c r="M22" s="57">
        <f>+IF(Table13[[#This Row],[WAYR Last]]&gt;0,IF(Table13[[#This Row],[WAYR Current]]&gt;0,(Table13[[#This Row],[WAYR Current]]-Table13[[#This Row],[WAYR Last]]),""),"")</f>
        <v>-3.0000000000001137E-2</v>
      </c>
      <c r="N22" s="5"/>
      <c r="O22" s="67">
        <v>44044</v>
      </c>
      <c r="P22" s="67">
        <f>SUMIFS(Table13[Bid Accepted],Table13[Maturity date],"&gt;="&amp;$O22,Table13[Maturity date],"&lt;="&amp;EOMONTH($O22,0),Table13[Days To Maturity],P$2)</f>
        <v>55848</v>
      </c>
      <c r="Q22" s="67">
        <f>SUMIFS(Table13[Bid Accepted],Table13[Maturity date],"&gt;="&amp;$O22,Table13[Maturity date],"&lt;="&amp;EOMONTH($O22,0),Table13[Days To Maturity],Q$2)</f>
        <v>22160</v>
      </c>
      <c r="R22" s="67">
        <f>SUMIFS(Table13[Bid Accepted],Table13[Maturity date],"&gt;="&amp;$O22,Table13[Maturity date],"&lt;="&amp;EOMONTH($O22,0),Table13[Days To Maturity],R$2)</f>
        <v>33598</v>
      </c>
      <c r="S22" s="67">
        <f t="shared" si="0"/>
        <v>111606</v>
      </c>
      <c r="T22" s="67"/>
      <c r="U22" s="14">
        <f>SUMIFS(Table13[Bid Accepted],Table13[Date_d],"&gt;="&amp;O22,Table13[Date_d],"&lt;="&amp;EOMONTH(O22,0),Table13[Days To Maturity],U$2)</f>
        <v>46505</v>
      </c>
      <c r="V22" s="14">
        <f>SUMIFS(Table13[Bid Accepted],Table13[Date_d],"&gt;="&amp;O22,Table13[Date_d],"&lt;="&amp;EOMONTH(O22,0),Table13[Days To Maturity],V$2)</f>
        <v>63659</v>
      </c>
      <c r="W22" s="14">
        <f>SUMIFS(Table13[Bid Accepted],Table13[Date_d],"&gt;="&amp;O22,Table13[Date_d],"&lt;="&amp;EOMONTH(O22,0),Table13[Days To Maturity],W$2)</f>
        <v>31046</v>
      </c>
      <c r="X22" s="14">
        <f t="shared" si="1"/>
        <v>141210</v>
      </c>
      <c r="Y22" s="14"/>
      <c r="Z22" s="14">
        <f t="shared" si="2"/>
        <v>29604</v>
      </c>
      <c r="AA22" s="5"/>
      <c r="AB22" s="14">
        <f>SUMIFS(Table13[Coupon],Table13[Maturity date],"&gt;="&amp;$O22,Table13[Maturity date],"&lt;="&amp;EOMONTH($O22,0),Table13[Days To Maturity],AB$2)</f>
        <v>4580.1188000000002</v>
      </c>
      <c r="AC22" s="14">
        <f>SUMIFS(Table13[Coupon],Table13[Maturity date],"&gt;="&amp;$O22,Table13[Maturity date],"&lt;="&amp;EOMONTH($O22,0),Table13[Days To Maturity],AC$2)</f>
        <v>889.52699999999993</v>
      </c>
      <c r="AD22" s="14">
        <f>SUMIFS(Table13[Coupon],Table13[Maturity date],"&gt;="&amp;$O22,Table13[Maturity date],"&lt;="&amp;EOMONTH($O22,0),Table13[Days To Maturity],AD$2)</f>
        <v>567.58307500000001</v>
      </c>
      <c r="AE22" s="14">
        <f t="shared" si="3"/>
        <v>6037.2288750000007</v>
      </c>
      <c r="AF22" s="14"/>
      <c r="AH22" s="13">
        <v>43236</v>
      </c>
      <c r="AI22" s="78">
        <v>14000</v>
      </c>
      <c r="AJ22" s="78">
        <v>45321</v>
      </c>
      <c r="AK22" s="78">
        <v>21298</v>
      </c>
      <c r="AL22" s="78">
        <v>31321</v>
      </c>
      <c r="AM22" s="78">
        <v>7298</v>
      </c>
      <c r="AN22" s="78">
        <v>9.6999999999999993</v>
      </c>
      <c r="AO22" s="77">
        <v>0.52128571428571424</v>
      </c>
      <c r="AP22" s="77"/>
      <c r="AQ22" s="15"/>
      <c r="AR22" s="13">
        <v>43593</v>
      </c>
      <c r="AS22" s="16">
        <v>2.4554999999999998</v>
      </c>
      <c r="AT22" s="17">
        <v>3.3895</v>
      </c>
      <c r="AU22" s="17">
        <v>6.1223571428571431</v>
      </c>
      <c r="AV22" s="64">
        <v>4.9587727272727271</v>
      </c>
      <c r="AX22" s="78"/>
      <c r="AY22" s="13">
        <v>43236</v>
      </c>
      <c r="AZ22" s="78" t="str">
        <f t="array" ref="AZ22">INDEX(_xlfn._xlws.FILTER(Table13[],Table13[Days To Maturity]=AZ$3),MATCH($AY22,Table13[Date_d],0),8)</f>
        <v xml:space="preserve"> -   </v>
      </c>
      <c r="BA22" s="78">
        <f t="array" ref="BA22">INDEX(_xlfn._xlws.FILTER(Table13[],Table13[Days To Maturity]=BA$3),MATCH($AY22,Table13[Date_d],0),8)</f>
        <v>9.99</v>
      </c>
      <c r="BB22" s="78">
        <f t="array" ref="BB22">INDEX(_xlfn._xlws.FILTER(Table13[],Table13[Days To Maturity]=BB$3),MATCH($AY22,Table13[Date_d],0),8)</f>
        <v>9.6999999999999993</v>
      </c>
    </row>
    <row r="23" spans="1:54" x14ac:dyDescent="0.2">
      <c r="A23" s="9">
        <v>43257</v>
      </c>
      <c r="B23" s="10" t="s">
        <v>47</v>
      </c>
      <c r="C23" s="10">
        <v>364</v>
      </c>
      <c r="D23" s="10" t="s">
        <v>20</v>
      </c>
      <c r="E23" s="14">
        <v>5000</v>
      </c>
      <c r="F23" s="18">
        <v>41228</v>
      </c>
      <c r="G23" s="18">
        <v>5678</v>
      </c>
      <c r="H23" s="37">
        <v>9.49</v>
      </c>
      <c r="I23" s="37">
        <v>9.6999999999999993</v>
      </c>
      <c r="J23" s="32">
        <f t="array" ref="J2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43622</v>
      </c>
      <c r="K23" s="66">
        <f>IFERROR(Table13[[#This Row],[Bid Accepted]]*(Table13[[#This Row],[WAYR Current]]%/364*Table13[[#This Row],[Days To Maturity]]),0)</f>
        <v>538.84219999999993</v>
      </c>
      <c r="L23" s="41">
        <f>+Table13[[#This Row],[Bid Accepted]]-Table13[[#This Row],[Amount Offered]]</f>
        <v>678</v>
      </c>
      <c r="M23" s="57">
        <f>+IF(Table13[[#This Row],[WAYR Last]]&gt;0,IF(Table13[[#This Row],[WAYR Current]]&gt;0,(Table13[[#This Row],[WAYR Current]]-Table13[[#This Row],[WAYR Last]]),""),"")</f>
        <v>-0.20999999999999908</v>
      </c>
      <c r="N23" s="5"/>
      <c r="O23" s="67">
        <v>44075</v>
      </c>
      <c r="P23" s="67">
        <f>SUMIFS(Table13[Bid Accepted],Table13[Maturity date],"&gt;="&amp;$O23,Table13[Maturity date],"&lt;="&amp;EOMONTH($O23,0),Table13[Days To Maturity],P$2)</f>
        <v>42616</v>
      </c>
      <c r="Q23" s="67">
        <f>SUMIFS(Table13[Bid Accepted],Table13[Maturity date],"&gt;="&amp;$O23,Table13[Maturity date],"&lt;="&amp;EOMONTH($O23,0),Table13[Days To Maturity],Q$2)</f>
        <v>28991</v>
      </c>
      <c r="R23" s="67">
        <f>SUMIFS(Table13[Bid Accepted],Table13[Maturity date],"&gt;="&amp;$O23,Table13[Maturity date],"&lt;="&amp;EOMONTH($O23,0),Table13[Days To Maturity],R$2)</f>
        <v>22200</v>
      </c>
      <c r="S23" s="67">
        <f t="shared" si="0"/>
        <v>93807</v>
      </c>
      <c r="T23" s="67"/>
      <c r="U23" s="14">
        <f>SUMIFS(Table13[Bid Accepted],Table13[Date_d],"&gt;="&amp;O23,Table13[Date_d],"&lt;="&amp;EOMONTH(O23,0),Table13[Days To Maturity],U$2)</f>
        <v>46620</v>
      </c>
      <c r="V23" s="14">
        <f>SUMIFS(Table13[Bid Accepted],Table13[Date_d],"&gt;="&amp;O23,Table13[Date_d],"&lt;="&amp;EOMONTH(O23,0),Table13[Days To Maturity],V$2)</f>
        <v>55851</v>
      </c>
      <c r="W23" s="14">
        <f>SUMIFS(Table13[Bid Accepted],Table13[Date_d],"&gt;="&amp;O23,Table13[Date_d],"&lt;="&amp;EOMONTH(O23,0),Table13[Days To Maturity],W$2)</f>
        <v>25824</v>
      </c>
      <c r="X23" s="14">
        <f t="shared" si="1"/>
        <v>128295</v>
      </c>
      <c r="Y23" s="14"/>
      <c r="Z23" s="14">
        <f t="shared" si="2"/>
        <v>34488</v>
      </c>
      <c r="AA23" s="5"/>
      <c r="AB23" s="14">
        <f>SUMIFS(Table13[Coupon],Table13[Maturity date],"&gt;="&amp;$O23,Table13[Maturity date],"&lt;="&amp;EOMONTH($O23,0),Table13[Days To Maturity],AB$2)</f>
        <v>3565.9515999999999</v>
      </c>
      <c r="AC23" s="14">
        <f>SUMIFS(Table13[Coupon],Table13[Maturity date],"&gt;="&amp;$O23,Table13[Maturity date],"&lt;="&amp;EOMONTH($O23,0),Table13[Days To Maturity],AC$2)</f>
        <v>1121.5895500000001</v>
      </c>
      <c r="AD23" s="14">
        <f>SUMIFS(Table13[Coupon],Table13[Maturity date],"&gt;="&amp;$O23,Table13[Maturity date],"&lt;="&amp;EOMONTH($O23,0),Table13[Days To Maturity],AD$2)</f>
        <v>346.48250000000002</v>
      </c>
      <c r="AE23" s="14">
        <f t="shared" si="3"/>
        <v>5034.0236500000001</v>
      </c>
      <c r="AF23" s="14"/>
      <c r="AH23" s="13">
        <v>43243</v>
      </c>
      <c r="AI23" s="78">
        <v>12000</v>
      </c>
      <c r="AJ23" s="78">
        <v>36887</v>
      </c>
      <c r="AK23" s="78">
        <v>16149</v>
      </c>
      <c r="AL23" s="78">
        <v>24887</v>
      </c>
      <c r="AM23" s="78">
        <v>4149</v>
      </c>
      <c r="AN23" s="78">
        <v>9.73</v>
      </c>
      <c r="AO23" s="77">
        <v>0.34575</v>
      </c>
      <c r="AP23" s="77"/>
      <c r="AQ23" s="15"/>
      <c r="AR23" s="13">
        <v>43600</v>
      </c>
      <c r="AS23" s="16">
        <v>2.1</v>
      </c>
      <c r="AT23" s="17">
        <v>3.7037499999999999</v>
      </c>
      <c r="AU23" s="17">
        <v>4.4853846153846151</v>
      </c>
      <c r="AV23" s="64">
        <v>3.8821428571428571</v>
      </c>
      <c r="AX23" s="78"/>
      <c r="AY23" s="13">
        <v>43243</v>
      </c>
      <c r="AZ23" s="78" t="str">
        <f t="array" ref="AZ23">INDEX(_xlfn._xlws.FILTER(Table13[],Table13[Days To Maturity]=AZ$3),MATCH($AY23,Table13[Date_d],0),8)</f>
        <v xml:space="preserve"> -   </v>
      </c>
      <c r="BA23" s="78" t="str">
        <f t="array" ref="BA23">INDEX(_xlfn._xlws.FILTER(Table13[],Table13[Days To Maturity]=BA$3),MATCH($AY23,Table13[Date_d],0),8)</f>
        <v xml:space="preserve"> -   </v>
      </c>
      <c r="BB23" s="78">
        <f t="array" ref="BB23">INDEX(_xlfn._xlws.FILTER(Table13[],Table13[Days To Maturity]=BB$3),MATCH($AY23,Table13[Date_d],0),8)</f>
        <v>9.73</v>
      </c>
    </row>
    <row r="24" spans="1:54" x14ac:dyDescent="0.2">
      <c r="A24" s="34">
        <v>43263</v>
      </c>
      <c r="B24" s="35" t="s">
        <v>48</v>
      </c>
      <c r="C24" s="35">
        <v>364</v>
      </c>
      <c r="D24" s="35" t="s">
        <v>20</v>
      </c>
      <c r="E24" s="36">
        <v>6000</v>
      </c>
      <c r="F24" s="38">
        <v>35850</v>
      </c>
      <c r="G24" s="38">
        <v>7949</v>
      </c>
      <c r="H24" s="39">
        <v>9.44</v>
      </c>
      <c r="I24" s="39">
        <v>9.73</v>
      </c>
      <c r="J24" s="32">
        <f t="array" ref="J2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43628</v>
      </c>
      <c r="K24" s="59">
        <f>IFERROR(Table13[[#This Row],[Bid Accepted]]*(Table13[[#This Row],[WAYR Current]]%/364*Table13[[#This Row],[Days To Maturity]]),0)</f>
        <v>750.38559999999995</v>
      </c>
      <c r="L24" s="41">
        <f>+Table13[[#This Row],[Bid Accepted]]-Table13[[#This Row],[Amount Offered]]</f>
        <v>1949</v>
      </c>
      <c r="M24" s="57">
        <f>+IF(Table13[[#This Row],[WAYR Last]]&gt;0,IF(Table13[[#This Row],[WAYR Current]]&gt;0,(Table13[[#This Row],[WAYR Current]]-Table13[[#This Row],[WAYR Last]]),""),"")</f>
        <v>-0.29000000000000092</v>
      </c>
      <c r="N24" s="5"/>
      <c r="O24" s="67">
        <v>44105</v>
      </c>
      <c r="P24" s="67">
        <f>SUMIFS(Table13[Bid Accepted],Table13[Maturity date],"&gt;="&amp;$O24,Table13[Maturity date],"&lt;="&amp;EOMONTH($O24,0),Table13[Days To Maturity],P$2)</f>
        <v>52028</v>
      </c>
      <c r="Q24" s="67">
        <f>SUMIFS(Table13[Bid Accepted],Table13[Maturity date],"&gt;="&amp;$O24,Table13[Maturity date],"&lt;="&amp;EOMONTH($O24,0),Table13[Days To Maturity],Q$2)</f>
        <v>34284</v>
      </c>
      <c r="R24" s="67">
        <f>SUMIFS(Table13[Bid Accepted],Table13[Maturity date],"&gt;="&amp;$O24,Table13[Maturity date],"&lt;="&amp;EOMONTH($O24,0),Table13[Days To Maturity],R$2)</f>
        <v>21071</v>
      </c>
      <c r="S24" s="67">
        <f t="shared" si="0"/>
        <v>107383</v>
      </c>
      <c r="T24" s="67"/>
      <c r="U24" s="14">
        <f>SUMIFS(Table13[Bid Accepted],Table13[Date_d],"&gt;="&amp;O24,Table13[Date_d],"&lt;="&amp;EOMONTH(O24,0),Table13[Days To Maturity],U$2)</f>
        <v>85799</v>
      </c>
      <c r="V24" s="14">
        <f>SUMIFS(Table13[Bid Accepted],Table13[Date_d],"&gt;="&amp;O24,Table13[Date_d],"&lt;="&amp;EOMONTH(O24,0),Table13[Days To Maturity],V$2)</f>
        <v>38480</v>
      </c>
      <c r="W24" s="14">
        <f>SUMIFS(Table13[Bid Accepted],Table13[Date_d],"&gt;="&amp;O24,Table13[Date_d],"&lt;="&amp;EOMONTH(O24,0),Table13[Days To Maturity],W$2)</f>
        <v>3135</v>
      </c>
      <c r="X24" s="14">
        <f t="shared" si="1"/>
        <v>127414</v>
      </c>
      <c r="Y24" s="14"/>
      <c r="Z24" s="14">
        <f t="shared" si="2"/>
        <v>20031</v>
      </c>
      <c r="AA24" s="5"/>
      <c r="AB24" s="14">
        <f>SUMIFS(Table13[Coupon],Table13[Maturity date],"&gt;="&amp;$O24,Table13[Maturity date],"&lt;="&amp;EOMONTH($O24,0),Table13[Days To Maturity],AB$2)</f>
        <v>4353.4682000000003</v>
      </c>
      <c r="AC24" s="14">
        <f>SUMIFS(Table13[Coupon],Table13[Maturity date],"&gt;="&amp;$O24,Table13[Maturity date],"&lt;="&amp;EOMONTH($O24,0),Table13[Days To Maturity],AC$2)</f>
        <v>1183.4747500000001</v>
      </c>
      <c r="AD24" s="14">
        <f>SUMIFS(Table13[Coupon],Table13[Maturity date],"&gt;="&amp;$O24,Table13[Maturity date],"&lt;="&amp;EOMONTH($O24,0),Table13[Days To Maturity],AD$2)</f>
        <v>248.42362499999996</v>
      </c>
      <c r="AE24" s="14">
        <f t="shared" si="3"/>
        <v>5785.3665750000009</v>
      </c>
      <c r="AF24" s="14"/>
      <c r="AH24" s="13">
        <v>43250</v>
      </c>
      <c r="AI24" s="78">
        <v>5000</v>
      </c>
      <c r="AJ24" s="78">
        <v>47262</v>
      </c>
      <c r="AK24" s="78">
        <v>8434</v>
      </c>
      <c r="AL24" s="78">
        <v>42262</v>
      </c>
      <c r="AM24" s="78">
        <v>3434</v>
      </c>
      <c r="AN24" s="78">
        <v>9.6199999999999992</v>
      </c>
      <c r="AO24" s="77">
        <v>0.68679999999999997</v>
      </c>
      <c r="AP24" s="77"/>
      <c r="AQ24" s="15"/>
      <c r="AR24" s="13">
        <v>43607</v>
      </c>
      <c r="AS24" s="16">
        <v>2.1408</v>
      </c>
      <c r="AT24" s="17">
        <v>3.4628888888888887</v>
      </c>
      <c r="AU24" s="17">
        <v>4.6270769230769231</v>
      </c>
      <c r="AV24" s="64">
        <v>4.0543500000000003</v>
      </c>
      <c r="AX24" s="78"/>
      <c r="AY24" s="13">
        <v>43250</v>
      </c>
      <c r="AZ24" s="78" t="str">
        <f t="array" ref="AZ24">INDEX(_xlfn._xlws.FILTER(Table13[],Table13[Days To Maturity]=AZ$3),MATCH($AY24,Table13[Date_d],0),8)</f>
        <v xml:space="preserve"> -   </v>
      </c>
      <c r="BA24" s="78" t="str">
        <f t="array" ref="BA24">INDEX(_xlfn._xlws.FILTER(Table13[],Table13[Days To Maturity]=BA$3),MATCH($AY24,Table13[Date_d],0),8)</f>
        <v xml:space="preserve"> -   </v>
      </c>
      <c r="BB24" s="78">
        <f t="array" ref="BB24">INDEX(_xlfn._xlws.FILTER(Table13[],Table13[Days To Maturity]=BB$3),MATCH($AY24,Table13[Date_d],0),8)</f>
        <v>9.6199999999999992</v>
      </c>
    </row>
    <row r="25" spans="1:54" x14ac:dyDescent="0.2">
      <c r="A25" s="9">
        <v>43271</v>
      </c>
      <c r="B25" s="10" t="s">
        <v>49</v>
      </c>
      <c r="C25" s="10">
        <v>364</v>
      </c>
      <c r="D25" s="10" t="s">
        <v>20</v>
      </c>
      <c r="E25" s="14">
        <v>9000</v>
      </c>
      <c r="F25" s="18">
        <v>35592</v>
      </c>
      <c r="G25" s="18">
        <v>9000</v>
      </c>
      <c r="H25" s="37">
        <v>9.3699999999999992</v>
      </c>
      <c r="I25" s="37">
        <v>9.6199999999999992</v>
      </c>
      <c r="J25" s="32">
        <f t="array" ref="J2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43636</v>
      </c>
      <c r="K25" s="66">
        <f>IFERROR(Table13[[#This Row],[Bid Accepted]]*(Table13[[#This Row],[WAYR Current]]%/364*Table13[[#This Row],[Days To Maturity]]),0)</f>
        <v>843.3</v>
      </c>
      <c r="L25" s="41">
        <f>+Table13[[#This Row],[Bid Accepted]]-Table13[[#This Row],[Amount Offered]]</f>
        <v>0</v>
      </c>
      <c r="M25" s="57">
        <f>+IF(Table13[[#This Row],[WAYR Last]]&gt;0,IF(Table13[[#This Row],[WAYR Current]]&gt;0,(Table13[[#This Row],[WAYR Current]]-Table13[[#This Row],[WAYR Last]]),""),"")</f>
        <v>-0.25</v>
      </c>
      <c r="N25" s="5"/>
      <c r="O25" s="67">
        <v>44136</v>
      </c>
      <c r="P25" s="67">
        <f>SUMIFS(Table13[Bid Accepted],Table13[Maturity date],"&gt;="&amp;$O25,Table13[Maturity date],"&lt;="&amp;EOMONTH($O25,0),Table13[Days To Maturity],P$2)</f>
        <v>55602</v>
      </c>
      <c r="Q25" s="67">
        <f>SUMIFS(Table13[Bid Accepted],Table13[Maturity date],"&gt;="&amp;$O25,Table13[Maturity date],"&lt;="&amp;EOMONTH($O25,0),Table13[Days To Maturity],Q$2)</f>
        <v>31648</v>
      </c>
      <c r="R25" s="67">
        <f>SUMIFS(Table13[Bid Accepted],Table13[Maturity date],"&gt;="&amp;$O25,Table13[Maturity date],"&lt;="&amp;EOMONTH($O25,0),Table13[Days To Maturity],R$2)</f>
        <v>31046</v>
      </c>
      <c r="S25" s="67">
        <f t="shared" si="0"/>
        <v>118296</v>
      </c>
      <c r="T25" s="67"/>
      <c r="U25" s="14">
        <f>SUMIFS(Table13[Bid Accepted],Table13[Date_d],"&gt;="&amp;O25,Table13[Date_d],"&lt;="&amp;EOMONTH(O25,0),Table13[Days To Maturity],U$2)</f>
        <v>40088</v>
      </c>
      <c r="V25" s="14">
        <f>SUMIFS(Table13[Bid Accepted],Table13[Date_d],"&gt;="&amp;O25,Table13[Date_d],"&lt;="&amp;EOMONTH(O25,0),Table13[Days To Maturity],V$2)</f>
        <v>22589</v>
      </c>
      <c r="W25" s="14">
        <f>SUMIFS(Table13[Bid Accepted],Table13[Date_d],"&gt;="&amp;O25,Table13[Date_d],"&lt;="&amp;EOMONTH(O25,0),Table13[Days To Maturity],W$2)</f>
        <v>10610</v>
      </c>
      <c r="X25" s="14">
        <f t="shared" si="1"/>
        <v>73287</v>
      </c>
      <c r="Y25" s="14"/>
      <c r="Z25" s="14">
        <f t="shared" si="2"/>
        <v>-45009</v>
      </c>
      <c r="AA25" s="5"/>
      <c r="AB25" s="14">
        <f>SUMIFS(Table13[Coupon],Table13[Maturity date],"&gt;="&amp;$O25,Table13[Maturity date],"&lt;="&amp;EOMONTH($O25,0),Table13[Days To Maturity],AB$2)</f>
        <v>4632.0770999999995</v>
      </c>
      <c r="AC25" s="14">
        <f>SUMIFS(Table13[Coupon],Table13[Maturity date],"&gt;="&amp;$O25,Table13[Maturity date],"&lt;="&amp;EOMONTH($O25,0),Table13[Days To Maturity],AC$2)</f>
        <v>1081.6713</v>
      </c>
      <c r="AD25" s="14">
        <f>SUMIFS(Table13[Coupon],Table13[Maturity date],"&gt;="&amp;$O25,Table13[Maturity date],"&lt;="&amp;EOMONTH($O25,0),Table13[Days To Maturity],AD$2)</f>
        <v>359.15362499999998</v>
      </c>
      <c r="AE25" s="14">
        <f t="shared" si="3"/>
        <v>6072.9020249999994</v>
      </c>
      <c r="AF25" s="5"/>
      <c r="AH25" s="13">
        <v>43257</v>
      </c>
      <c r="AI25" s="78">
        <v>5000</v>
      </c>
      <c r="AJ25" s="78">
        <v>41228</v>
      </c>
      <c r="AK25" s="78">
        <v>5678</v>
      </c>
      <c r="AL25" s="78">
        <v>36228</v>
      </c>
      <c r="AM25" s="78">
        <v>678</v>
      </c>
      <c r="AN25" s="78">
        <v>9.49</v>
      </c>
      <c r="AO25" s="77">
        <v>0.1356</v>
      </c>
      <c r="AP25" s="77"/>
      <c r="AQ25" s="15"/>
      <c r="AR25" s="13">
        <v>43614</v>
      </c>
      <c r="AS25" s="16">
        <v>2.1760000000000002</v>
      </c>
      <c r="AT25" s="17">
        <v>3.9557500000000001</v>
      </c>
      <c r="AU25" s="17">
        <v>2.0681428571428571</v>
      </c>
      <c r="AV25" s="64">
        <v>2.4564499999999998</v>
      </c>
      <c r="AX25" s="78"/>
      <c r="AY25" s="13">
        <v>43257</v>
      </c>
      <c r="AZ25" s="78" t="str">
        <f t="array" ref="AZ25">INDEX(_xlfn._xlws.FILTER(Table13[],Table13[Days To Maturity]=AZ$3),MATCH($AY25,Table13[Date_d],0),8)</f>
        <v xml:space="preserve"> -   </v>
      </c>
      <c r="BA25" s="78" t="str">
        <f t="array" ref="BA25">INDEX(_xlfn._xlws.FILTER(Table13[],Table13[Days To Maturity]=BA$3),MATCH($AY25,Table13[Date_d],0),8)</f>
        <v xml:space="preserve"> -   </v>
      </c>
      <c r="BB25" s="78">
        <f t="array" ref="BB25">INDEX(_xlfn._xlws.FILTER(Table13[],Table13[Days To Maturity]=BB$3),MATCH($AY25,Table13[Date_d],0),8)</f>
        <v>9.49</v>
      </c>
    </row>
    <row r="26" spans="1:54" x14ac:dyDescent="0.2">
      <c r="A26" s="34">
        <v>43277</v>
      </c>
      <c r="B26" s="35" t="s">
        <v>50</v>
      </c>
      <c r="C26" s="35">
        <v>364</v>
      </c>
      <c r="D26" s="35" t="s">
        <v>20</v>
      </c>
      <c r="E26" s="36">
        <v>8000</v>
      </c>
      <c r="F26" s="38">
        <v>16723</v>
      </c>
      <c r="G26" s="38">
        <v>10133</v>
      </c>
      <c r="H26" s="39">
        <v>9.39</v>
      </c>
      <c r="I26" s="39">
        <v>9.49</v>
      </c>
      <c r="J26" s="32">
        <f t="array" ref="J2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43642</v>
      </c>
      <c r="K26" s="66">
        <f>IFERROR(Table13[[#This Row],[Bid Accepted]]*(Table13[[#This Row],[WAYR Current]]%/364*Table13[[#This Row],[Days To Maturity]]),0)</f>
        <v>951.48869999999999</v>
      </c>
      <c r="L26" s="41">
        <f>+Table13[[#This Row],[Bid Accepted]]-Table13[[#This Row],[Amount Offered]]</f>
        <v>2133</v>
      </c>
      <c r="M26" s="57">
        <f>+IF(Table13[[#This Row],[WAYR Last]]&gt;0,IF(Table13[[#This Row],[WAYR Current]]&gt;0,(Table13[[#This Row],[WAYR Current]]-Table13[[#This Row],[WAYR Last]]),""),"")</f>
        <v>-9.9999999999999645E-2</v>
      </c>
      <c r="N26" s="5"/>
      <c r="O26" s="67">
        <v>44166</v>
      </c>
      <c r="P26" s="67">
        <f>SUMIFS(Table13[Bid Accepted],Table13[Maturity date],"&gt;="&amp;$O26,Table13[Maturity date],"&lt;="&amp;EOMONTH($O26,0),Table13[Days To Maturity],P$2)</f>
        <v>40435</v>
      </c>
      <c r="Q26" s="67">
        <f>SUMIFS(Table13[Bid Accepted],Table13[Maturity date],"&gt;="&amp;$O26,Table13[Maturity date],"&lt;="&amp;EOMONTH($O26,0),Table13[Days To Maturity],Q$2)</f>
        <v>22923</v>
      </c>
      <c r="R26" s="67">
        <f>SUMIFS(Table13[Bid Accepted],Table13[Maturity date],"&gt;="&amp;$O26,Table13[Maturity date],"&lt;="&amp;EOMONTH($O26,0),Table13[Days To Maturity],R$2)</f>
        <v>25824</v>
      </c>
      <c r="S26" s="67">
        <f t="shared" si="0"/>
        <v>89182</v>
      </c>
      <c r="T26" s="67"/>
      <c r="U26" s="14">
        <f>SUMIFS(Table13[Bid Accepted],Table13[Date_d],"&gt;="&amp;O26,Table13[Date_d],"&lt;="&amp;EOMONTH(O26,0),Table13[Days To Maturity],U$2)</f>
        <v>61696</v>
      </c>
      <c r="V26" s="14">
        <f>SUMIFS(Table13[Bid Accepted],Table13[Date_d],"&gt;="&amp;O26,Table13[Date_d],"&lt;="&amp;EOMONTH(O26,0),Table13[Days To Maturity],V$2)</f>
        <v>40761</v>
      </c>
      <c r="W26" s="14">
        <f>SUMIFS(Table13[Bid Accepted],Table13[Date_d],"&gt;="&amp;O26,Table13[Date_d],"&lt;="&amp;EOMONTH(O26,0),Table13[Days To Maturity],W$2)</f>
        <v>24081</v>
      </c>
      <c r="X26" s="14">
        <f t="shared" si="1"/>
        <v>126538</v>
      </c>
      <c r="Y26" s="14"/>
      <c r="Z26" s="14">
        <f t="shared" si="2"/>
        <v>37356</v>
      </c>
      <c r="AB26" s="14">
        <f>SUMIFS(Table13[Coupon],Table13[Maturity date],"&gt;="&amp;$O26,Table13[Maturity date],"&lt;="&amp;EOMONTH($O26,0),Table13[Days To Maturity],AB$2)</f>
        <v>3358.7912999999999</v>
      </c>
      <c r="AC26" s="14">
        <f>SUMIFS(Table13[Coupon],Table13[Maturity date],"&gt;="&amp;$O26,Table13[Maturity date],"&lt;="&amp;EOMONTH($O26,0),Table13[Days To Maturity],AC$2)</f>
        <v>748.63699999999994</v>
      </c>
      <c r="AD26" s="14">
        <f>SUMIFS(Table13[Coupon],Table13[Maturity date],"&gt;="&amp;$O26,Table13[Maturity date],"&lt;="&amp;EOMONTH($O26,0),Table13[Days To Maturity],AD$2)</f>
        <v>291.48744999999997</v>
      </c>
      <c r="AE26" s="14">
        <f t="shared" si="3"/>
        <v>4398.9157499999992</v>
      </c>
      <c r="AH26" s="13">
        <v>43263</v>
      </c>
      <c r="AI26" s="78">
        <v>6000</v>
      </c>
      <c r="AJ26" s="78">
        <v>35850</v>
      </c>
      <c r="AK26" s="78">
        <v>7949</v>
      </c>
      <c r="AL26" s="78">
        <v>29850</v>
      </c>
      <c r="AM26" s="78">
        <v>1949</v>
      </c>
      <c r="AN26" s="78">
        <v>9.44</v>
      </c>
      <c r="AO26" s="77">
        <v>0.32483333333333331</v>
      </c>
      <c r="AP26" s="77"/>
      <c r="AQ26" s="15"/>
      <c r="AR26" s="13">
        <v>43620</v>
      </c>
      <c r="AS26" s="16">
        <v>2.15</v>
      </c>
      <c r="AT26" s="17">
        <v>3.4874999999999998</v>
      </c>
      <c r="AU26" s="17">
        <v>2.1983571428571427</v>
      </c>
      <c r="AV26" s="64">
        <v>2.4513500000000001</v>
      </c>
      <c r="AX26" s="78"/>
      <c r="AY26" s="13">
        <v>43263</v>
      </c>
      <c r="AZ26" s="78">
        <f t="array" ref="AZ26">INDEX(_xlfn._xlws.FILTER(Table13[],Table13[Days To Maturity]=AZ$3),MATCH($AY26,Table13[Date_d],0),8)</f>
        <v>9.5500000000000007</v>
      </c>
      <c r="BA26" s="78">
        <f t="array" ref="BA26">INDEX(_xlfn._xlws.FILTER(Table13[],Table13[Days To Maturity]=BA$3),MATCH($AY26,Table13[Date_d],0),8)</f>
        <v>10.01</v>
      </c>
      <c r="BB26" s="78">
        <f t="array" ref="BB26">INDEX(_xlfn._xlws.FILTER(Table13[],Table13[Days To Maturity]=BB$3),MATCH($AY26,Table13[Date_d],0),8)</f>
        <v>9.44</v>
      </c>
    </row>
    <row r="27" spans="1:54" x14ac:dyDescent="0.2">
      <c r="A27" s="9">
        <v>43285</v>
      </c>
      <c r="B27" s="10" t="s">
        <v>51</v>
      </c>
      <c r="C27" s="10">
        <v>182</v>
      </c>
      <c r="D27" s="10" t="s">
        <v>20</v>
      </c>
      <c r="E27" s="14">
        <v>4000</v>
      </c>
      <c r="F27" s="18">
        <v>5930</v>
      </c>
      <c r="G27" s="18">
        <v>555</v>
      </c>
      <c r="H27" s="37">
        <v>8.85</v>
      </c>
      <c r="I27" s="37">
        <v>9.3699999999999992</v>
      </c>
      <c r="J27" s="32">
        <f t="array" ref="J2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43469</v>
      </c>
      <c r="K27" s="59">
        <f>IFERROR(Table13[[#This Row],[Bid Accepted]]*(Table13[[#This Row],[WAYR Current]]%/364*Table13[[#This Row],[Days To Maturity]]),0)</f>
        <v>24.55875</v>
      </c>
      <c r="L27" s="41">
        <f>+Table13[[#This Row],[Bid Accepted]]-Table13[[#This Row],[Amount Offered]]</f>
        <v>-3445</v>
      </c>
      <c r="M27" s="57">
        <f>+IF(Table13[[#This Row],[WAYR Last]]&gt;0,IF(Table13[[#This Row],[WAYR Current]]&gt;0,(Table13[[#This Row],[WAYR Current]]-Table13[[#This Row],[WAYR Last]]),""),"")</f>
        <v>-0.51999999999999957</v>
      </c>
      <c r="N27" s="5"/>
      <c r="O27" s="67">
        <v>44197</v>
      </c>
      <c r="P27" s="67">
        <f>SUMIFS(Table13[Bid Accepted],Table13[Maturity date],"&gt;="&amp;$O27,Table13[Maturity date],"&lt;="&amp;EOMONTH($O27,0),Table13[Days To Maturity],P$2)</f>
        <v>105116</v>
      </c>
      <c r="Q27" s="67">
        <f>SUMIFS(Table13[Bid Accepted],Table13[Maturity date],"&gt;="&amp;$O27,Table13[Maturity date],"&lt;="&amp;EOMONTH($O27,0),Table13[Days To Maturity],Q$2)</f>
        <v>31211</v>
      </c>
      <c r="R27" s="67">
        <f>SUMIFS(Table13[Bid Accepted],Table13[Maturity date],"&gt;="&amp;$O27,Table13[Maturity date],"&lt;="&amp;EOMONTH($O27,0),Table13[Days To Maturity],R$2)</f>
        <v>3135</v>
      </c>
      <c r="S27" s="67">
        <f t="shared" si="0"/>
        <v>139462</v>
      </c>
      <c r="T27" s="67"/>
      <c r="U27" s="14">
        <f>SUMIFS(Table13[Bid Accepted],Table13[Date_d],"&gt;="&amp;O27,Table13[Date_d],"&lt;="&amp;EOMONTH(O27,0),Table13[Days To Maturity],U$2)</f>
        <v>84563</v>
      </c>
      <c r="V27" s="14">
        <f>SUMIFS(Table13[Bid Accepted],Table13[Date_d],"&gt;="&amp;O27,Table13[Date_d],"&lt;="&amp;EOMONTH(O27,0),Table13[Days To Maturity],V$2)</f>
        <v>20091</v>
      </c>
      <c r="W27" s="14">
        <f>SUMIFS(Table13[Bid Accepted],Table13[Date_d],"&gt;="&amp;O27,Table13[Date_d],"&lt;="&amp;EOMONTH(O27,0),Table13[Days To Maturity],W$2)</f>
        <v>40350</v>
      </c>
      <c r="X27" s="14">
        <f t="shared" si="1"/>
        <v>145004</v>
      </c>
      <c r="Z27" s="14">
        <f t="shared" si="2"/>
        <v>5542</v>
      </c>
      <c r="AB27" s="14">
        <f>SUMIFS(Table13[Coupon],Table13[Maturity date],"&gt;="&amp;$O27,Table13[Maturity date],"&lt;="&amp;EOMONTH($O27,0),Table13[Days To Maturity],AB$2)</f>
        <v>8985.4323999999979</v>
      </c>
      <c r="AC27" s="14">
        <f>SUMIFS(Table13[Coupon],Table13[Maturity date],"&gt;="&amp;$O27,Table13[Maturity date],"&lt;="&amp;EOMONTH($O27,0),Table13[Days To Maturity],AC$2)</f>
        <v>767.84355000000016</v>
      </c>
      <c r="AD27" s="14">
        <f>SUMIFS(Table13[Coupon],Table13[Maturity date],"&gt;="&amp;$O27,Table13[Maturity date],"&lt;="&amp;EOMONTH($O27,0),Table13[Days To Maturity],AD$2)</f>
        <v>35.897375000000004</v>
      </c>
      <c r="AE27" s="14">
        <f t="shared" si="3"/>
        <v>9789.1733249999979</v>
      </c>
      <c r="AH27" s="13">
        <v>43271</v>
      </c>
      <c r="AI27" s="78">
        <v>9000</v>
      </c>
      <c r="AJ27" s="78">
        <v>35592</v>
      </c>
      <c r="AK27" s="78">
        <v>9000</v>
      </c>
      <c r="AL27" s="78">
        <v>26592</v>
      </c>
      <c r="AM27" s="78">
        <v>0</v>
      </c>
      <c r="AN27" s="78">
        <v>9.3699999999999992</v>
      </c>
      <c r="AO27" s="77">
        <v>0</v>
      </c>
      <c r="AP27" s="77"/>
      <c r="AQ27" s="15"/>
      <c r="AR27" s="13">
        <v>43628</v>
      </c>
      <c r="AS27" s="16">
        <v>3.1833333333333331</v>
      </c>
      <c r="AT27" s="17">
        <v>4.0532000000000004</v>
      </c>
      <c r="AU27" s="17">
        <v>2.081818181818182</v>
      </c>
      <c r="AV27" s="64">
        <v>2.7745263157894735</v>
      </c>
      <c r="AX27" s="78"/>
      <c r="AY27" s="13">
        <v>43271</v>
      </c>
      <c r="AZ27" s="78">
        <f t="array" ref="AZ27">INDEX(_xlfn._xlws.FILTER(Table13[],Table13[Days To Maturity]=AZ$3),MATCH($AY27,Table13[Date_d],0),8)</f>
        <v>9.49</v>
      </c>
      <c r="BA27" s="78">
        <f t="array" ref="BA27">INDEX(_xlfn._xlws.FILTER(Table13[],Table13[Days To Maturity]=BA$3),MATCH($AY27,Table13[Date_d],0),8)</f>
        <v>10.029999999999999</v>
      </c>
      <c r="BB27" s="78">
        <f t="array" ref="BB27">INDEX(_xlfn._xlws.FILTER(Table13[],Table13[Days To Maturity]=BB$3),MATCH($AY27,Table13[Date_d],0),8)</f>
        <v>9.3699999999999992</v>
      </c>
    </row>
    <row r="28" spans="1:54" x14ac:dyDescent="0.2">
      <c r="A28" s="9">
        <v>43285</v>
      </c>
      <c r="B28" s="10" t="s">
        <v>52</v>
      </c>
      <c r="C28" s="10">
        <v>364</v>
      </c>
      <c r="D28" s="10" t="s">
        <v>20</v>
      </c>
      <c r="E28" s="14">
        <v>8000</v>
      </c>
      <c r="F28" s="18">
        <v>20543</v>
      </c>
      <c r="G28" s="18">
        <v>9481</v>
      </c>
      <c r="H28" s="37">
        <v>9.43</v>
      </c>
      <c r="I28" s="37">
        <v>9.44</v>
      </c>
      <c r="J28" s="32">
        <f t="array" ref="J2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43650</v>
      </c>
      <c r="K28" s="66">
        <f>IFERROR(Table13[[#This Row],[Bid Accepted]]*(Table13[[#This Row],[WAYR Current]]%/364*Table13[[#This Row],[Days To Maturity]]),0)</f>
        <v>894.0582999999998</v>
      </c>
      <c r="L28" s="41">
        <f>+Table13[[#This Row],[Bid Accepted]]-Table13[[#This Row],[Amount Offered]]</f>
        <v>1481</v>
      </c>
      <c r="M28" s="57">
        <f>+IF(Table13[[#This Row],[WAYR Last]]&gt;0,IF(Table13[[#This Row],[WAYR Current]]&gt;0,(Table13[[#This Row],[WAYR Current]]-Table13[[#This Row],[WAYR Last]]),""),"")</f>
        <v>-9.9999999999997868E-3</v>
      </c>
      <c r="N28" s="5"/>
      <c r="O28" s="67">
        <v>44228</v>
      </c>
      <c r="P28" s="67">
        <f>SUMIFS(Table13[Bid Accepted],Table13[Maturity date],"&gt;="&amp;$O28,Table13[Maturity date],"&lt;="&amp;EOMONTH($O28,0),Table13[Days To Maturity],P$2)</f>
        <v>63890</v>
      </c>
      <c r="Q28" s="67">
        <f>SUMIFS(Table13[Bid Accepted],Table13[Maturity date],"&gt;="&amp;$O28,Table13[Maturity date],"&lt;="&amp;EOMONTH($O28,0),Table13[Days To Maturity],Q$2)</f>
        <v>63659</v>
      </c>
      <c r="R28" s="67">
        <f>SUMIFS(Table13[Bid Accepted],Table13[Maturity date],"&gt;="&amp;$O28,Table13[Maturity date],"&lt;="&amp;EOMONTH($O28,0),Table13[Days To Maturity],R$2)</f>
        <v>10610</v>
      </c>
      <c r="S28" s="67">
        <f t="shared" si="0"/>
        <v>138159</v>
      </c>
      <c r="T28" s="67"/>
      <c r="U28" s="14">
        <f>SUMIFS(Table13[Bid Accepted],Table13[Date_d],"&gt;="&amp;O28,Table13[Date_d],"&lt;="&amp;EOMONTH(O28,0),Table13[Days To Maturity],U$2)</f>
        <v>22015</v>
      </c>
      <c r="V28" s="14">
        <f>SUMIFS(Table13[Bid Accepted],Table13[Date_d],"&gt;="&amp;O28,Table13[Date_d],"&lt;="&amp;EOMONTH(O28,0),Table13[Days To Maturity],V$2)</f>
        <v>22936</v>
      </c>
      <c r="W28" s="14">
        <f>SUMIFS(Table13[Bid Accepted],Table13[Date_d],"&gt;="&amp;O28,Table13[Date_d],"&lt;="&amp;EOMONTH(O28,0),Table13[Days To Maturity],W$2)</f>
        <v>55951</v>
      </c>
      <c r="X28" s="14">
        <f t="shared" si="1"/>
        <v>100902</v>
      </c>
      <c r="Z28" s="14">
        <f t="shared" si="2"/>
        <v>-37257</v>
      </c>
      <c r="AB28" s="14">
        <f>SUMIFS(Table13[Coupon],Table13[Maturity date],"&gt;="&amp;$O28,Table13[Maturity date],"&lt;="&amp;EOMONTH($O28,0),Table13[Days To Maturity],AB$2)</f>
        <v>5451.4079999999994</v>
      </c>
      <c r="AC28" s="14">
        <f>SUMIFS(Table13[Coupon],Table13[Maturity date],"&gt;="&amp;$O28,Table13[Maturity date],"&lt;="&amp;EOMONTH($O28,0),Table13[Days To Maturity],AC$2)</f>
        <v>1502.8762000000002</v>
      </c>
      <c r="AD28" s="14">
        <f>SUMIFS(Table13[Coupon],Table13[Maturity date],"&gt;="&amp;$O28,Table13[Maturity date],"&lt;="&amp;EOMONTH($O28,0),Table13[Days To Maturity],AD$2)</f>
        <v>122.515625</v>
      </c>
      <c r="AE28" s="14">
        <f t="shared" si="3"/>
        <v>7076.7998250000001</v>
      </c>
      <c r="AH28" s="13">
        <v>43277</v>
      </c>
      <c r="AI28" s="78">
        <v>8000</v>
      </c>
      <c r="AJ28" s="78">
        <v>16723</v>
      </c>
      <c r="AK28" s="78">
        <v>10133</v>
      </c>
      <c r="AL28" s="78">
        <v>8723</v>
      </c>
      <c r="AM28" s="78">
        <v>2133</v>
      </c>
      <c r="AN28" s="78">
        <v>9.39</v>
      </c>
      <c r="AO28" s="77">
        <v>0.266625</v>
      </c>
      <c r="AP28" s="77"/>
      <c r="AQ28" s="15"/>
      <c r="AR28" s="13">
        <v>43635</v>
      </c>
      <c r="AS28" s="16">
        <v>2.8083333333333331</v>
      </c>
      <c r="AT28" s="17">
        <v>4.6887499999999998</v>
      </c>
      <c r="AU28" s="17">
        <v>2.8516666666666666</v>
      </c>
      <c r="AV28" s="64">
        <v>3.2247368421052633</v>
      </c>
      <c r="AX28" s="78"/>
      <c r="AY28" s="13">
        <v>43277</v>
      </c>
      <c r="AZ28" s="78">
        <f t="array" ref="AZ28">INDEX(_xlfn._xlws.FILTER(Table13[],Table13[Days To Maturity]=AZ$3),MATCH($AY28,Table13[Date_d],0),8)</f>
        <v>9.39</v>
      </c>
      <c r="BA28" s="78">
        <f t="array" ref="BA28">INDEX(_xlfn._xlws.FILTER(Table13[],Table13[Days To Maturity]=BA$3),MATCH($AY28,Table13[Date_d],0),8)</f>
        <v>9.99</v>
      </c>
      <c r="BB28" s="78">
        <f t="array" ref="BB28">INDEX(_xlfn._xlws.FILTER(Table13[],Table13[Days To Maturity]=BB$3),MATCH($AY28,Table13[Date_d],0),8)</f>
        <v>9.39</v>
      </c>
    </row>
    <row r="29" spans="1:54" x14ac:dyDescent="0.2">
      <c r="A29" s="34">
        <v>43292</v>
      </c>
      <c r="B29" s="35" t="s">
        <v>53</v>
      </c>
      <c r="C29" s="35">
        <v>182</v>
      </c>
      <c r="D29" s="35" t="s">
        <v>20</v>
      </c>
      <c r="E29" s="36">
        <v>4000</v>
      </c>
      <c r="F29" s="38">
        <v>5520</v>
      </c>
      <c r="G29" s="38" t="s">
        <v>54</v>
      </c>
      <c r="H29" s="39" t="s">
        <v>54</v>
      </c>
      <c r="I29" s="39">
        <v>9.43</v>
      </c>
      <c r="J29" s="32">
        <f t="array" ref="J2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43476</v>
      </c>
      <c r="K29" s="66">
        <f>IFERROR(Table13[[#This Row],[Bid Accepted]]*(Table13[[#This Row],[WAYR Current]]%/364*Table13[[#This Row],[Days To Maturity]]),0)</f>
        <v>0</v>
      </c>
      <c r="L29" s="41" t="e">
        <f>+Table13[[#This Row],[Bid Accepted]]-Table13[[#This Row],[Amount Offered]]</f>
        <v>#VALUE!</v>
      </c>
      <c r="M29" s="57" t="e">
        <f>+IF(Table13[[#This Row],[WAYR Last]]&gt;0,IF(Table13[[#This Row],[WAYR Current]]&gt;0,(Table13[[#This Row],[WAYR Current]]-Table13[[#This Row],[WAYR Last]]),""),"")</f>
        <v>#VALUE!</v>
      </c>
      <c r="N29" s="5"/>
      <c r="O29" s="67">
        <v>44256</v>
      </c>
      <c r="P29" s="67">
        <f>SUMIFS(Table13[Bid Accepted],Table13[Maturity date],"&gt;="&amp;$O29,Table13[Maturity date],"&lt;="&amp;EOMONTH($O29,0),Table13[Days To Maturity],P$2)</f>
        <v>53685</v>
      </c>
      <c r="Q29" s="67">
        <f>SUMIFS(Table13[Bid Accepted],Table13[Maturity date],"&gt;="&amp;$O29,Table13[Maturity date],"&lt;="&amp;EOMONTH($O29,0),Table13[Days To Maturity],Q$2)</f>
        <v>55851</v>
      </c>
      <c r="R29" s="67">
        <f>SUMIFS(Table13[Bid Accepted],Table13[Maturity date],"&gt;="&amp;$O29,Table13[Maturity date],"&lt;="&amp;EOMONTH($O29,0),Table13[Days To Maturity],R$2)</f>
        <v>24081</v>
      </c>
      <c r="S29" s="67">
        <f t="shared" si="0"/>
        <v>133617</v>
      </c>
      <c r="T29" s="67"/>
      <c r="U29" s="14">
        <f>SUMIFS(Table13[Bid Accepted],Table13[Date_d],"&gt;="&amp;O29,Table13[Date_d],"&lt;="&amp;EOMONTH(O29,0),Table13[Days To Maturity],U$2)</f>
        <v>3637</v>
      </c>
      <c r="V29" s="14">
        <f>SUMIFS(Table13[Bid Accepted],Table13[Date_d],"&gt;="&amp;O29,Table13[Date_d],"&lt;="&amp;EOMONTH(O29,0),Table13[Days To Maturity],V$2)</f>
        <v>58889</v>
      </c>
      <c r="W29" s="14">
        <f>SUMIFS(Table13[Bid Accepted],Table13[Date_d],"&gt;="&amp;O29,Table13[Date_d],"&lt;="&amp;EOMONTH(O29,0),Table13[Days To Maturity],W$2)</f>
        <v>64837</v>
      </c>
      <c r="X29" s="14">
        <f t="shared" si="1"/>
        <v>127363</v>
      </c>
      <c r="Z29" s="14">
        <f t="shared" si="2"/>
        <v>-6254</v>
      </c>
      <c r="AB29" s="14">
        <f>SUMIFS(Table13[Coupon],Table13[Maturity date],"&gt;="&amp;$O29,Table13[Maturity date],"&lt;="&amp;EOMONTH($O29,0),Table13[Days To Maturity],AB$2)</f>
        <v>4432.1509999999998</v>
      </c>
      <c r="AC29" s="14">
        <f>SUMIFS(Table13[Coupon],Table13[Maturity date],"&gt;="&amp;$O29,Table13[Maturity date],"&lt;="&amp;EOMONTH($O29,0),Table13[Days To Maturity],AC$2)</f>
        <v>1299.1884499999996</v>
      </c>
      <c r="AD29" s="14">
        <f>SUMIFS(Table13[Coupon],Table13[Maturity date],"&gt;="&amp;$O29,Table13[Maturity date],"&lt;="&amp;EOMONTH($O29,0),Table13[Days To Maturity],AD$2)</f>
        <v>280.78242500000005</v>
      </c>
      <c r="AE29" s="14">
        <f t="shared" si="3"/>
        <v>6012.1218749999998</v>
      </c>
      <c r="AH29" s="13">
        <v>43285</v>
      </c>
      <c r="AI29" s="78">
        <v>12000</v>
      </c>
      <c r="AJ29" s="78">
        <v>26473</v>
      </c>
      <c r="AK29" s="78">
        <v>10036</v>
      </c>
      <c r="AL29" s="78">
        <v>14473</v>
      </c>
      <c r="AM29" s="78">
        <v>-1964</v>
      </c>
      <c r="AN29" s="78">
        <v>9.43</v>
      </c>
      <c r="AO29" s="77">
        <v>-0.16366666666666665</v>
      </c>
      <c r="AP29" s="77"/>
      <c r="AQ29" s="15"/>
      <c r="AR29" s="13">
        <v>43642</v>
      </c>
      <c r="AS29" s="16">
        <v>4.166666666666667</v>
      </c>
      <c r="AT29" s="17">
        <v>4.1639999999999997</v>
      </c>
      <c r="AU29" s="17">
        <v>5.553529411764706</v>
      </c>
      <c r="AV29" s="64">
        <v>4.8803030303030299</v>
      </c>
      <c r="AX29" s="78"/>
      <c r="AY29" s="13">
        <v>43285</v>
      </c>
      <c r="AZ29" s="78">
        <f t="array" ref="AZ29">INDEX(_xlfn._xlws.FILTER(Table13[],Table13[Days To Maturity]=AZ$3),MATCH($AY29,Table13[Date_d],0),8)</f>
        <v>9.24</v>
      </c>
      <c r="BA29" s="78">
        <f t="array" ref="BA29">INDEX(_xlfn._xlws.FILTER(Table13[],Table13[Days To Maturity]=BA$3),MATCH($AY29,Table13[Date_d],0),8)</f>
        <v>9.9499999999999993</v>
      </c>
      <c r="BB29" s="78">
        <f t="array" ref="BB29">INDEX(_xlfn._xlws.FILTER(Table13[],Table13[Days To Maturity]=BB$3),MATCH($AY29,Table13[Date_d],0),8)</f>
        <v>9.43</v>
      </c>
    </row>
    <row r="30" spans="1:54" x14ac:dyDescent="0.2">
      <c r="A30" s="34">
        <v>43292</v>
      </c>
      <c r="B30" s="35" t="s">
        <v>55</v>
      </c>
      <c r="C30" s="35">
        <v>364</v>
      </c>
      <c r="D30" s="35" t="s">
        <v>20</v>
      </c>
      <c r="E30" s="36">
        <v>7000</v>
      </c>
      <c r="F30" s="38">
        <v>32247</v>
      </c>
      <c r="G30" s="38">
        <v>8889</v>
      </c>
      <c r="H30" s="39">
        <v>9.43</v>
      </c>
      <c r="I30" s="39">
        <v>9.39</v>
      </c>
      <c r="J30" s="32">
        <f t="array" ref="J3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43657</v>
      </c>
      <c r="K30" s="59">
        <f>IFERROR(Table13[[#This Row],[Bid Accepted]]*(Table13[[#This Row],[WAYR Current]]%/364*Table13[[#This Row],[Days To Maturity]]),0)</f>
        <v>838.2326999999998</v>
      </c>
      <c r="L30" s="41">
        <f>+Table13[[#This Row],[Bid Accepted]]-Table13[[#This Row],[Amount Offered]]</f>
        <v>1889</v>
      </c>
      <c r="M30" s="57">
        <f>+IF(Table13[[#This Row],[WAYR Last]]&gt;0,IF(Table13[[#This Row],[WAYR Current]]&gt;0,(Table13[[#This Row],[WAYR Current]]-Table13[[#This Row],[WAYR Last]]),""),"")</f>
        <v>3.9999999999999147E-2</v>
      </c>
      <c r="N30" s="5"/>
      <c r="O30" s="67">
        <v>44287</v>
      </c>
      <c r="P30" s="67">
        <f>SUMIFS(Table13[Bid Accepted],Table13[Maturity date],"&gt;="&amp;$O30,Table13[Maturity date],"&lt;="&amp;EOMONTH($O30,0),Table13[Days To Maturity],P$2)</f>
        <v>24857</v>
      </c>
      <c r="Q30" s="67">
        <f>SUMIFS(Table13[Bid Accepted],Table13[Maturity date],"&gt;="&amp;$O30,Table13[Maturity date],"&lt;="&amp;EOMONTH($O30,0),Table13[Days To Maturity],Q$2)</f>
        <v>38480</v>
      </c>
      <c r="R30" s="67">
        <f>SUMIFS(Table13[Bid Accepted],Table13[Maturity date],"&gt;="&amp;$O30,Table13[Maturity date],"&lt;="&amp;EOMONTH($O30,0),Table13[Days To Maturity],R$2)</f>
        <v>40350</v>
      </c>
      <c r="S30" s="67">
        <f t="shared" si="0"/>
        <v>103687</v>
      </c>
      <c r="T30" s="67"/>
      <c r="AB30" s="14">
        <f>SUMIFS(Table13[Coupon],Table13[Maturity date],"&gt;="&amp;$O30,Table13[Maturity date],"&lt;="&amp;EOMONTH($O30,0),Table13[Days To Maturity],AB$2)</f>
        <v>1767.9900000000002</v>
      </c>
      <c r="AC30" s="14">
        <f>SUMIFS(Table13[Coupon],Table13[Maturity date],"&gt;="&amp;$O30,Table13[Maturity date],"&lt;="&amp;EOMONTH($O30,0),Table13[Days To Maturity],AC$2)</f>
        <v>843.66920000000005</v>
      </c>
      <c r="AD30" s="14">
        <f>SUMIFS(Table13[Coupon],Table13[Maturity date],"&gt;="&amp;$O30,Table13[Maturity date],"&lt;="&amp;EOMONTH($O30,0),Table13[Days To Maturity],AD$2)</f>
        <v>474.21625000000012</v>
      </c>
      <c r="AE30" s="14">
        <f t="shared" si="3"/>
        <v>3085.87545</v>
      </c>
      <c r="AH30" s="13">
        <v>43292</v>
      </c>
      <c r="AI30" s="78">
        <v>11000</v>
      </c>
      <c r="AJ30" s="78">
        <v>37767</v>
      </c>
      <c r="AK30" s="78">
        <v>8889</v>
      </c>
      <c r="AL30" s="78">
        <v>26767</v>
      </c>
      <c r="AM30" s="78">
        <v>-2111</v>
      </c>
      <c r="AN30" s="78">
        <v>9.43</v>
      </c>
      <c r="AO30" s="77">
        <v>-0.19190909090909092</v>
      </c>
      <c r="AP30" s="77"/>
      <c r="AQ30" s="15"/>
      <c r="AR30" s="13">
        <v>43649</v>
      </c>
      <c r="AS30" s="16">
        <v>2.4916</v>
      </c>
      <c r="AT30" s="17">
        <v>3.7285714285714286</v>
      </c>
      <c r="AU30" s="17">
        <v>2.5683333333333334</v>
      </c>
      <c r="AV30" s="64">
        <v>2.7198695652173912</v>
      </c>
      <c r="AX30" s="78"/>
      <c r="AY30" s="13">
        <v>43292</v>
      </c>
      <c r="AZ30" s="78">
        <f t="array" ref="AZ30">INDEX(_xlfn._xlws.FILTER(Table13[],Table13[Days To Maturity]=AZ$3),MATCH($AY30,Table13[Date_d],0),8)</f>
        <v>9</v>
      </c>
      <c r="BA30" s="78">
        <f t="array" ref="BA30">INDEX(_xlfn._xlws.FILTER(Table13[],Table13[Days To Maturity]=BA$3),MATCH($AY30,Table13[Date_d],0),8)</f>
        <v>9.8699999999999992</v>
      </c>
      <c r="BB30" s="78">
        <f t="array" ref="BB30">INDEX(_xlfn._xlws.FILTER(Table13[],Table13[Days To Maturity]=BB$3),MATCH($AY30,Table13[Date_d],0),8)</f>
        <v>9.31</v>
      </c>
    </row>
    <row r="31" spans="1:54" x14ac:dyDescent="0.2">
      <c r="A31" s="9">
        <v>43299</v>
      </c>
      <c r="B31" s="10" t="s">
        <v>56</v>
      </c>
      <c r="C31" s="10">
        <v>182</v>
      </c>
      <c r="D31" s="10" t="s">
        <v>20</v>
      </c>
      <c r="E31" s="14">
        <v>3000</v>
      </c>
      <c r="F31" s="18">
        <v>12100</v>
      </c>
      <c r="G31" s="18">
        <v>3000</v>
      </c>
      <c r="H31" s="37">
        <v>8.75</v>
      </c>
      <c r="I31" s="37">
        <v>9.43</v>
      </c>
      <c r="J31" s="32">
        <f t="array" ref="J3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43483</v>
      </c>
      <c r="K31" s="59">
        <f>IFERROR(Table13[[#This Row],[Bid Accepted]]*(Table13[[#This Row],[WAYR Current]]%/364*Table13[[#This Row],[Days To Maturity]]),0)</f>
        <v>131.25</v>
      </c>
      <c r="L31" s="41">
        <f>+Table13[[#This Row],[Bid Accepted]]-Table13[[#This Row],[Amount Offered]]</f>
        <v>0</v>
      </c>
      <c r="M31" s="57">
        <f>+IF(Table13[[#This Row],[WAYR Last]]&gt;0,IF(Table13[[#This Row],[WAYR Current]]&gt;0,(Table13[[#This Row],[WAYR Current]]-Table13[[#This Row],[WAYR Last]]),""),"")</f>
        <v>-0.67999999999999972</v>
      </c>
      <c r="N31" s="5"/>
      <c r="O31" s="67">
        <v>44317</v>
      </c>
      <c r="P31" s="67">
        <f>SUMIFS(Table13[Bid Accepted],Table13[Maturity date],"&gt;="&amp;$O31,Table13[Maturity date],"&lt;="&amp;EOMONTH($O31,0),Table13[Days To Maturity],P$2)</f>
        <v>44019</v>
      </c>
      <c r="Q31" s="67">
        <f>SUMIFS(Table13[Bid Accepted],Table13[Maturity date],"&gt;="&amp;$O31,Table13[Maturity date],"&lt;="&amp;EOMONTH($O31,0),Table13[Days To Maturity],Q$2)</f>
        <v>22589</v>
      </c>
      <c r="R31" s="67">
        <f>SUMIFS(Table13[Bid Accepted],Table13[Maturity date],"&gt;="&amp;$O31,Table13[Maturity date],"&lt;="&amp;EOMONTH($O31,0),Table13[Days To Maturity],R$2)</f>
        <v>55951</v>
      </c>
      <c r="S31" s="67">
        <f t="shared" si="0"/>
        <v>122559</v>
      </c>
      <c r="T31" s="67"/>
      <c r="U31" s="11"/>
      <c r="V31" s="11"/>
      <c r="W31" s="11"/>
      <c r="AB31" s="14">
        <f>SUMIFS(Table13[Coupon],Table13[Maturity date],"&gt;="&amp;$O31,Table13[Maturity date],"&lt;="&amp;EOMONTH($O31,0),Table13[Days To Maturity],AB$2)</f>
        <v>3054.9656999999997</v>
      </c>
      <c r="AC31" s="14">
        <f>SUMIFS(Table13[Coupon],Table13[Maturity date],"&gt;="&amp;$O31,Table13[Maturity date],"&lt;="&amp;EOMONTH($O31,0),Table13[Days To Maturity],AC$2)</f>
        <v>534.66980000000012</v>
      </c>
      <c r="AD31" s="14">
        <f>SUMIFS(Table13[Coupon],Table13[Maturity date],"&gt;="&amp;$O31,Table13[Maturity date],"&lt;="&amp;EOMONTH($O31,0),Table13[Days To Maturity],AD$2)</f>
        <v>687.77239999999995</v>
      </c>
      <c r="AE31" s="14">
        <f t="shared" si="3"/>
        <v>4277.4079000000002</v>
      </c>
      <c r="AH31" s="13">
        <v>43299</v>
      </c>
      <c r="AI31" s="78">
        <v>12000</v>
      </c>
      <c r="AJ31" s="78">
        <v>68670</v>
      </c>
      <c r="AK31" s="78">
        <v>12000</v>
      </c>
      <c r="AL31" s="78">
        <v>56670</v>
      </c>
      <c r="AM31" s="78">
        <v>0</v>
      </c>
      <c r="AN31" s="78">
        <v>9.31</v>
      </c>
      <c r="AO31" s="77">
        <v>0</v>
      </c>
      <c r="AP31" s="77"/>
      <c r="AQ31" s="15"/>
      <c r="AR31" s="13">
        <v>43656</v>
      </c>
      <c r="AS31" s="16">
        <v>5.95</v>
      </c>
      <c r="AT31" s="17">
        <v>4.1950000000000003</v>
      </c>
      <c r="AU31" s="17">
        <v>3.0379310344827588</v>
      </c>
      <c r="AV31" s="64">
        <v>3.6833333333333331</v>
      </c>
      <c r="AX31" s="78"/>
      <c r="AY31" s="13">
        <v>43299</v>
      </c>
      <c r="AZ31" s="78">
        <f t="array" ref="AZ31">INDEX(_xlfn._xlws.FILTER(Table13[],Table13[Days To Maturity]=AZ$3),MATCH($AY31,Table13[Date_d],0),8)</f>
        <v>8.89</v>
      </c>
      <c r="BA31" s="78" t="str">
        <f t="array" ref="BA31">INDEX(_xlfn._xlws.FILTER(Table13[],Table13[Days To Maturity]=BA$3),MATCH($AY31,Table13[Date_d],0),8)</f>
        <v xml:space="preserve"> -   </v>
      </c>
      <c r="BB31" s="78">
        <f t="array" ref="BB31">INDEX(_xlfn._xlws.FILTER(Table13[],Table13[Days To Maturity]=BB$3),MATCH($AY31,Table13[Date_d],0),8)</f>
        <v>9.23</v>
      </c>
    </row>
    <row r="32" spans="1:54" x14ac:dyDescent="0.2">
      <c r="A32" s="9">
        <v>43299</v>
      </c>
      <c r="B32" s="10" t="s">
        <v>57</v>
      </c>
      <c r="C32" s="10">
        <v>364</v>
      </c>
      <c r="D32" s="10" t="s">
        <v>20</v>
      </c>
      <c r="E32" s="14">
        <v>9000</v>
      </c>
      <c r="F32" s="18">
        <v>56570</v>
      </c>
      <c r="G32" s="18">
        <v>9000</v>
      </c>
      <c r="H32" s="37">
        <v>9.31</v>
      </c>
      <c r="I32" s="37">
        <v>8.85</v>
      </c>
      <c r="J32" s="32">
        <f t="array" ref="J3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43664</v>
      </c>
      <c r="K32" s="66">
        <f>IFERROR(Table13[[#This Row],[Bid Accepted]]*(Table13[[#This Row],[WAYR Current]]%/364*Table13[[#This Row],[Days To Maturity]]),0)</f>
        <v>837.90000000000009</v>
      </c>
      <c r="L32" s="41">
        <f>+Table13[[#This Row],[Bid Accepted]]-Table13[[#This Row],[Amount Offered]]</f>
        <v>0</v>
      </c>
      <c r="M32" s="57">
        <f>+IF(Table13[[#This Row],[WAYR Last]]&gt;0,IF(Table13[[#This Row],[WAYR Current]]&gt;0,(Table13[[#This Row],[WAYR Current]]-Table13[[#This Row],[WAYR Last]]),""),"")</f>
        <v>0.46000000000000085</v>
      </c>
      <c r="N32" s="5"/>
      <c r="O32" s="67">
        <v>44348</v>
      </c>
      <c r="P32" s="67">
        <f>SUMIFS(Table13[Bid Accepted],Table13[Maturity date],"&gt;="&amp;$O32,Table13[Maturity date],"&lt;="&amp;EOMONTH($O32,0),Table13[Days To Maturity],P$2)</f>
        <v>46540</v>
      </c>
      <c r="Q32" s="67">
        <f>SUMIFS(Table13[Bid Accepted],Table13[Maturity date],"&gt;="&amp;$O32,Table13[Maturity date],"&lt;="&amp;EOMONTH($O32,0),Table13[Days To Maturity],Q$2)</f>
        <v>40761</v>
      </c>
      <c r="R32" s="67">
        <f>SUMIFS(Table13[Bid Accepted],Table13[Maturity date],"&gt;="&amp;$O32,Table13[Maturity date],"&lt;="&amp;EOMONTH($O32,0),Table13[Days To Maturity],R$2)</f>
        <v>64837</v>
      </c>
      <c r="S32" s="67">
        <f t="shared" si="0"/>
        <v>152138</v>
      </c>
      <c r="T32" s="67"/>
      <c r="AB32" s="14">
        <f>SUMIFS(Table13[Coupon],Table13[Maturity date],"&gt;="&amp;$O32,Table13[Maturity date],"&lt;="&amp;EOMONTH($O32,0),Table13[Days To Maturity],AB$2)</f>
        <v>2950.3519999999999</v>
      </c>
      <c r="AC32" s="14">
        <f>SUMIFS(Table13[Coupon],Table13[Maturity date],"&gt;="&amp;$O32,Table13[Maturity date],"&lt;="&amp;EOMONTH($O32,0),Table13[Days To Maturity],AC$2)</f>
        <v>973.73315000000002</v>
      </c>
      <c r="AD32" s="14">
        <f>SUMIFS(Table13[Coupon],Table13[Maturity date],"&gt;="&amp;$O32,Table13[Maturity date],"&lt;="&amp;EOMONTH($O32,0),Table13[Days To Maturity],AD$2)</f>
        <v>809.4885250000001</v>
      </c>
      <c r="AE32" s="14">
        <f t="shared" si="3"/>
        <v>4733.5736749999996</v>
      </c>
      <c r="AH32" s="13">
        <v>43305</v>
      </c>
      <c r="AI32" s="78">
        <v>18000</v>
      </c>
      <c r="AJ32" s="78">
        <v>63891</v>
      </c>
      <c r="AK32" s="78">
        <v>23700</v>
      </c>
      <c r="AL32" s="78">
        <v>45891</v>
      </c>
      <c r="AM32" s="78">
        <v>5700</v>
      </c>
      <c r="AN32" s="78">
        <v>9.27</v>
      </c>
      <c r="AO32" s="77">
        <v>0.31666666666666665</v>
      </c>
      <c r="AP32" s="77"/>
      <c r="AQ32" s="15"/>
      <c r="AR32" s="13">
        <v>43663</v>
      </c>
      <c r="AS32" s="16">
        <v>4.6066666666666665</v>
      </c>
      <c r="AT32" s="17">
        <v>4.3687500000000004</v>
      </c>
      <c r="AU32" s="17">
        <v>2.478787878787879</v>
      </c>
      <c r="AV32" s="64">
        <v>3.072127659574468</v>
      </c>
      <c r="AX32" s="78"/>
      <c r="AY32" s="13">
        <v>43305</v>
      </c>
      <c r="AZ32" s="78">
        <f t="array" ref="AZ32">INDEX(_xlfn._xlws.FILTER(Table13[],Table13[Days To Maturity]=AZ$3),MATCH($AY32,Table13[Date_d],0),8)</f>
        <v>8.52</v>
      </c>
      <c r="BA32" s="78" t="str">
        <f t="array" ref="BA32">INDEX(_xlfn._xlws.FILTER(Table13[],Table13[Days To Maturity]=BA$3),MATCH($AY32,Table13[Date_d],0),8)</f>
        <v xml:space="preserve"> -   </v>
      </c>
      <c r="BB32" s="78">
        <f t="array" ref="BB32">INDEX(_xlfn._xlws.FILTER(Table13[],Table13[Days To Maturity]=BB$3),MATCH($AY32,Table13[Date_d],0),8)</f>
        <v>9</v>
      </c>
    </row>
    <row r="33" spans="1:54" x14ac:dyDescent="0.2">
      <c r="A33" s="34">
        <v>43305</v>
      </c>
      <c r="B33" s="35" t="s">
        <v>58</v>
      </c>
      <c r="C33" s="35">
        <v>182</v>
      </c>
      <c r="D33" s="35" t="s">
        <v>20</v>
      </c>
      <c r="E33" s="36">
        <v>6000</v>
      </c>
      <c r="F33" s="38">
        <v>9993</v>
      </c>
      <c r="G33" s="38">
        <v>2693</v>
      </c>
      <c r="H33" s="39">
        <v>8.74</v>
      </c>
      <c r="I33" s="39">
        <v>9.31</v>
      </c>
      <c r="J33" s="32">
        <f t="array" ref="J3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43489</v>
      </c>
      <c r="K33" s="59">
        <f>IFERROR(Table13[[#This Row],[Bid Accepted]]*(Table13[[#This Row],[WAYR Current]]%/364*Table13[[#This Row],[Days To Maturity]]),0)</f>
        <v>117.6841</v>
      </c>
      <c r="L33" s="41">
        <f>+Table13[[#This Row],[Bid Accepted]]-Table13[[#This Row],[Amount Offered]]</f>
        <v>-3307</v>
      </c>
      <c r="M33" s="57">
        <f>+IF(Table13[[#This Row],[WAYR Last]]&gt;0,IF(Table13[[#This Row],[WAYR Current]]&gt;0,(Table13[[#This Row],[WAYR Current]]-Table13[[#This Row],[WAYR Last]]),""),"")</f>
        <v>-0.57000000000000028</v>
      </c>
      <c r="N33" s="5"/>
      <c r="O33" s="67">
        <v>44378</v>
      </c>
      <c r="P33" s="67">
        <f>SUMIFS(Table13[Bid Accepted],Table13[Maturity date],"&gt;="&amp;$O33,Table13[Maturity date],"&lt;="&amp;EOMONTH($O33,0),Table13[Days To Maturity],P$2)</f>
        <v>81781</v>
      </c>
      <c r="Q33" s="67">
        <f>SUMIFS(Table13[Bid Accepted],Table13[Maturity date],"&gt;="&amp;$O33,Table13[Maturity date],"&lt;="&amp;EOMONTH($O33,0),Table13[Days To Maturity],Q$2)</f>
        <v>20091</v>
      </c>
      <c r="R33" s="67">
        <f>SUMIFS(Table13[Bid Accepted],Table13[Maturity date],"&gt;="&amp;$O33,Table13[Maturity date],"&lt;="&amp;EOMONTH($O33,0),Table13[Days To Maturity],R$2)</f>
        <v>101070</v>
      </c>
      <c r="S33" s="67">
        <f t="shared" si="0"/>
        <v>202942</v>
      </c>
      <c r="T33" s="67"/>
      <c r="U33" s="11"/>
      <c r="V33" s="11"/>
      <c r="W33" s="11"/>
      <c r="AB33" s="14">
        <f>SUMIFS(Table13[Coupon],Table13[Maturity date],"&gt;="&amp;$O33,Table13[Maturity date],"&lt;="&amp;EOMONTH($O33,0),Table13[Days To Maturity],AB$2)</f>
        <v>4191.6988000000001</v>
      </c>
      <c r="AC33" s="14">
        <f>SUMIFS(Table13[Coupon],Table13[Maturity date],"&gt;="&amp;$O33,Table13[Maturity date],"&lt;="&amp;EOMONTH($O33,0),Table13[Days To Maturity],AC$2)</f>
        <v>479.66125</v>
      </c>
      <c r="AD33" s="14">
        <f>SUMIFS(Table13[Coupon],Table13[Maturity date],"&gt;="&amp;$O33,Table13[Maturity date],"&lt;="&amp;EOMONTH($O33,0),Table13[Days To Maturity],AD$2)</f>
        <v>1287.7572000000002</v>
      </c>
      <c r="AE33" s="14">
        <f t="shared" si="3"/>
        <v>5959.1172500000002</v>
      </c>
      <c r="AH33" s="13">
        <v>43313</v>
      </c>
      <c r="AI33" s="78">
        <v>20500</v>
      </c>
      <c r="AJ33" s="78">
        <v>69026</v>
      </c>
      <c r="AK33" s="78">
        <v>19331</v>
      </c>
      <c r="AL33" s="78">
        <v>48526</v>
      </c>
      <c r="AM33" s="78">
        <v>-1169</v>
      </c>
      <c r="AN33" s="78">
        <v>9.23</v>
      </c>
      <c r="AO33" s="77">
        <v>-5.7024390243902441E-2</v>
      </c>
      <c r="AP33" s="77"/>
      <c r="AQ33" s="15"/>
      <c r="AR33" s="13">
        <v>43670</v>
      </c>
      <c r="AS33" s="16">
        <v>4.6016666666666666</v>
      </c>
      <c r="AT33" s="17">
        <v>4.2380000000000004</v>
      </c>
      <c r="AU33" s="17">
        <v>2.6321111111111111</v>
      </c>
      <c r="AV33" s="64">
        <v>3.1254</v>
      </c>
      <c r="AX33" s="78"/>
      <c r="AY33" s="13">
        <v>43313</v>
      </c>
      <c r="AZ33" s="78" t="str">
        <f t="array" ref="AZ33">INDEX(_xlfn._xlws.FILTER(Table13[],Table13[Days To Maturity]=AZ$3),MATCH($AY33,Table13[Date_d],0),8)</f>
        <v>-</v>
      </c>
      <c r="BA33" s="78" t="str">
        <f t="array" ref="BA33">INDEX(_xlfn._xlws.FILTER(Table13[],Table13[Days To Maturity]=BA$3),MATCH($AY33,Table13[Date_d],0),8)</f>
        <v xml:space="preserve"> -   </v>
      </c>
      <c r="BB33" s="78">
        <f t="array" ref="BB33">INDEX(_xlfn._xlws.FILTER(Table13[],Table13[Days To Maturity]=BB$3),MATCH($AY33,Table13[Date_d],0),8)</f>
        <v>8.99</v>
      </c>
    </row>
    <row r="34" spans="1:54" x14ac:dyDescent="0.2">
      <c r="A34" s="34">
        <v>43305</v>
      </c>
      <c r="B34" s="35" t="s">
        <v>59</v>
      </c>
      <c r="C34" s="35">
        <v>364</v>
      </c>
      <c r="D34" s="35" t="s">
        <v>20</v>
      </c>
      <c r="E34" s="36">
        <v>12000</v>
      </c>
      <c r="F34" s="38">
        <v>53898</v>
      </c>
      <c r="G34" s="38">
        <v>21007</v>
      </c>
      <c r="H34" s="39">
        <v>9.27</v>
      </c>
      <c r="I34" s="39" t="s">
        <v>54</v>
      </c>
      <c r="J34" s="32">
        <f t="array" ref="J3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43670</v>
      </c>
      <c r="K34" s="59">
        <f>IFERROR(Table13[[#This Row],[Bid Accepted]]*(Table13[[#This Row],[WAYR Current]]%/364*Table13[[#This Row],[Days To Maturity]]),0)</f>
        <v>1947.3488999999997</v>
      </c>
      <c r="L34" s="41">
        <f>+Table13[[#This Row],[Bid Accepted]]-Table13[[#This Row],[Amount Offered]]</f>
        <v>9007</v>
      </c>
      <c r="M34" s="57" t="e">
        <f>+IF(Table13[[#This Row],[WAYR Last]]&gt;0,IF(Table13[[#This Row],[WAYR Current]]&gt;0,(Table13[[#This Row],[WAYR Current]]-Table13[[#This Row],[WAYR Last]]),""),"")</f>
        <v>#VALUE!</v>
      </c>
      <c r="N34" s="5"/>
      <c r="O34" s="67">
        <v>44409</v>
      </c>
      <c r="P34" s="67">
        <f>SUMIFS(Table13[Bid Accepted],Table13[Maturity date],"&gt;="&amp;$O34,Table13[Maturity date],"&lt;="&amp;EOMONTH($O34,0),Table13[Days To Maturity],P$2)</f>
        <v>46505</v>
      </c>
      <c r="Q34" s="67">
        <f>SUMIFS(Table13[Bid Accepted],Table13[Maturity date],"&gt;="&amp;$O34,Table13[Maturity date],"&lt;="&amp;EOMONTH($O34,0),Table13[Days To Maturity],Q$2)</f>
        <v>22936</v>
      </c>
      <c r="R34" s="67">
        <f>SUMIFS(Table13[Bid Accepted],Table13[Maturity date],"&gt;="&amp;$O34,Table13[Maturity date],"&lt;="&amp;EOMONTH($O34,0),Table13[Days To Maturity],R$2)</f>
        <v>92441</v>
      </c>
      <c r="S34" s="67">
        <f t="shared" si="0"/>
        <v>161882</v>
      </c>
      <c r="T34" s="67"/>
      <c r="AB34" s="14">
        <f>SUMIFS(Table13[Coupon],Table13[Maturity date],"&gt;="&amp;$O34,Table13[Maturity date],"&lt;="&amp;EOMONTH($O34,0),Table13[Days To Maturity],AB$2)</f>
        <v>2282.4364999999998</v>
      </c>
      <c r="AC34" s="14">
        <f>SUMIFS(Table13[Coupon],Table13[Maturity date],"&gt;="&amp;$O34,Table13[Maturity date],"&lt;="&amp;EOMONTH($O34,0),Table13[Days To Maturity],AC$2)</f>
        <v>579.98</v>
      </c>
      <c r="AD34" s="14">
        <f>SUMIFS(Table13[Coupon],Table13[Maturity date],"&gt;="&amp;$O34,Table13[Maturity date],"&lt;="&amp;EOMONTH($O34,0),Table13[Days To Maturity],AD$2)</f>
        <v>1184.0249249999999</v>
      </c>
      <c r="AE34" s="14">
        <f t="shared" si="3"/>
        <v>4046.441425</v>
      </c>
      <c r="AH34" s="13">
        <v>43320</v>
      </c>
      <c r="AI34" s="78">
        <v>15500</v>
      </c>
      <c r="AJ34" s="78">
        <v>69235</v>
      </c>
      <c r="AK34" s="78">
        <v>15500</v>
      </c>
      <c r="AL34" s="78">
        <v>53735</v>
      </c>
      <c r="AM34" s="78">
        <v>0</v>
      </c>
      <c r="AN34" s="78">
        <v>9.16</v>
      </c>
      <c r="AO34" s="77">
        <v>0</v>
      </c>
      <c r="AP34" s="77"/>
      <c r="AQ34" s="15"/>
      <c r="AR34" s="13">
        <v>43677</v>
      </c>
      <c r="AS34" s="16">
        <v>1.984</v>
      </c>
      <c r="AT34" s="17">
        <v>1.8464</v>
      </c>
      <c r="AU34" s="17">
        <v>3.2858461538461539</v>
      </c>
      <c r="AV34" s="64">
        <v>2.7376363636363634</v>
      </c>
      <c r="AX34" s="78"/>
      <c r="AY34" s="13">
        <v>43320</v>
      </c>
      <c r="AZ34" s="78">
        <f t="array" ref="AZ34">INDEX(_xlfn._xlws.FILTER(Table13[],Table13[Days To Maturity]=AZ$3),MATCH($AY34,Table13[Date_d],0),8)</f>
        <v>8.3800000000000008</v>
      </c>
      <c r="BA34" s="78">
        <f t="array" ref="BA34">INDEX(_xlfn._xlws.FILTER(Table13[],Table13[Days To Maturity]=BA$3),MATCH($AY34,Table13[Date_d],0),8)</f>
        <v>9.8699999999999992</v>
      </c>
      <c r="BB34" s="78">
        <f t="array" ref="BB34">INDEX(_xlfn._xlws.FILTER(Table13[],Table13[Days To Maturity]=BB$3),MATCH($AY34,Table13[Date_d],0),8)</f>
        <v>9.0500000000000007</v>
      </c>
    </row>
    <row r="35" spans="1:54" x14ac:dyDescent="0.2">
      <c r="A35" s="9">
        <v>43313</v>
      </c>
      <c r="B35" s="10" t="s">
        <v>60</v>
      </c>
      <c r="C35" s="10">
        <v>182</v>
      </c>
      <c r="D35" s="10" t="s">
        <v>20</v>
      </c>
      <c r="E35" s="14">
        <v>5000</v>
      </c>
      <c r="F35" s="18">
        <v>7600</v>
      </c>
      <c r="G35" s="18" t="s">
        <v>54</v>
      </c>
      <c r="H35" s="37" t="s">
        <v>54</v>
      </c>
      <c r="I35" s="37">
        <v>9.27</v>
      </c>
      <c r="J35" s="32">
        <f t="array" ref="J3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43497</v>
      </c>
      <c r="K35" s="66">
        <f>IFERROR(Table13[[#This Row],[Bid Accepted]]*(Table13[[#This Row],[WAYR Current]]%/364*Table13[[#This Row],[Days To Maturity]]),0)</f>
        <v>0</v>
      </c>
      <c r="L35" s="41" t="e">
        <f>+Table13[[#This Row],[Bid Accepted]]-Table13[[#This Row],[Amount Offered]]</f>
        <v>#VALUE!</v>
      </c>
      <c r="M35" s="57" t="e">
        <f>+IF(Table13[[#This Row],[WAYR Last]]&gt;0,IF(Table13[[#This Row],[WAYR Current]]&gt;0,(Table13[[#This Row],[WAYR Current]]-Table13[[#This Row],[WAYR Last]]),""),"")</f>
        <v>#VALUE!</v>
      </c>
      <c r="N35" s="5"/>
      <c r="O35" s="67">
        <v>44440</v>
      </c>
      <c r="P35" s="67">
        <f>SUMIFS(Table13[Bid Accepted],Table13[Maturity date],"&gt;="&amp;$O35,Table13[Maturity date],"&lt;="&amp;EOMONTH($O35,0),Table13[Days To Maturity],P$2)</f>
        <v>46620</v>
      </c>
      <c r="Q35" s="67">
        <f>SUMIFS(Table13[Bid Accepted],Table13[Maturity date],"&gt;="&amp;$O35,Table13[Maturity date],"&lt;="&amp;EOMONTH($O35,0),Table13[Days To Maturity],Q$2)</f>
        <v>58889</v>
      </c>
      <c r="R35" s="67">
        <f>SUMIFS(Table13[Bid Accepted],Table13[Maturity date],"&gt;="&amp;$O35,Table13[Maturity date],"&lt;="&amp;EOMONTH($O35,0),Table13[Days To Maturity],R$2)</f>
        <v>84079</v>
      </c>
      <c r="S35" s="67">
        <f t="shared" si="0"/>
        <v>189588</v>
      </c>
      <c r="T35" s="67"/>
      <c r="AB35" s="14">
        <f>SUMIFS(Table13[Coupon],Table13[Maturity date],"&gt;="&amp;$O35,Table13[Maturity date],"&lt;="&amp;EOMONTH($O35,0),Table13[Days To Maturity],AB$2)</f>
        <v>2276.8547999999996</v>
      </c>
      <c r="AC35" s="14">
        <f>SUMIFS(Table13[Coupon],Table13[Maturity date],"&gt;="&amp;$O35,Table13[Maturity date],"&lt;="&amp;EOMONTH($O35,0),Table13[Days To Maturity],AC$2)</f>
        <v>1487.78855</v>
      </c>
      <c r="AD35" s="14">
        <f>SUMIFS(Table13[Coupon],Table13[Maturity date],"&gt;="&amp;$O35,Table13[Maturity date],"&lt;="&amp;EOMONTH($O35,0),Table13[Days To Maturity],AD$2)</f>
        <v>1086.6847499999999</v>
      </c>
      <c r="AE35" s="14">
        <f t="shared" si="3"/>
        <v>4851.3280999999988</v>
      </c>
      <c r="AH35" s="13">
        <v>43327</v>
      </c>
      <c r="AI35" s="78">
        <v>15000</v>
      </c>
      <c r="AJ35" s="78">
        <v>69082</v>
      </c>
      <c r="AK35" s="78">
        <v>15000</v>
      </c>
      <c r="AL35" s="78">
        <v>54082</v>
      </c>
      <c r="AM35" s="78">
        <v>0</v>
      </c>
      <c r="AN35" s="78">
        <v>9</v>
      </c>
      <c r="AO35" s="77">
        <v>0</v>
      </c>
      <c r="AP35" s="77"/>
      <c r="AQ35" s="15"/>
      <c r="AR35" s="13">
        <v>43684</v>
      </c>
      <c r="AS35" s="16">
        <v>2.68</v>
      </c>
      <c r="AT35" s="17">
        <v>2.7246666666666668</v>
      </c>
      <c r="AU35" s="17">
        <v>2.0213793103448277</v>
      </c>
      <c r="AV35" s="64">
        <v>2.1674054054054053</v>
      </c>
      <c r="AX35" s="78"/>
      <c r="AY35" s="13">
        <v>43327</v>
      </c>
      <c r="AZ35" s="78">
        <f t="array" ref="AZ35">INDEX(_xlfn._xlws.FILTER(Table13[],Table13[Days To Maturity]=AZ$3),MATCH($AY35,Table13[Date_d],0),8)</f>
        <v>8.24</v>
      </c>
      <c r="BA35" s="78">
        <f t="array" ref="BA35">INDEX(_xlfn._xlws.FILTER(Table13[],Table13[Days To Maturity]=BA$3),MATCH($AY35,Table13[Date_d],0),8)</f>
        <v>9.67</v>
      </c>
      <c r="BB35" s="78">
        <f t="array" ref="BB35">INDEX(_xlfn._xlws.FILTER(Table13[],Table13[Days To Maturity]=BB$3),MATCH($AY35,Table13[Date_d],0),8)</f>
        <v>9.51</v>
      </c>
    </row>
    <row r="36" spans="1:54" x14ac:dyDescent="0.2">
      <c r="A36" s="9">
        <v>43313</v>
      </c>
      <c r="B36" s="10" t="s">
        <v>61</v>
      </c>
      <c r="C36" s="10">
        <v>364</v>
      </c>
      <c r="D36" s="10" t="s">
        <v>20</v>
      </c>
      <c r="E36" s="14">
        <v>15500</v>
      </c>
      <c r="F36" s="18">
        <v>61426</v>
      </c>
      <c r="G36" s="18">
        <v>19331</v>
      </c>
      <c r="H36" s="37">
        <v>9.23</v>
      </c>
      <c r="I36" s="37">
        <v>8.75</v>
      </c>
      <c r="J36" s="32">
        <f t="array" ref="J3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43678</v>
      </c>
      <c r="K36" s="59">
        <f>IFERROR(Table13[[#This Row],[Bid Accepted]]*(Table13[[#This Row],[WAYR Current]]%/364*Table13[[#This Row],[Days To Maturity]]),0)</f>
        <v>1784.2513000000001</v>
      </c>
      <c r="L36" s="41">
        <f>+Table13[[#This Row],[Bid Accepted]]-Table13[[#This Row],[Amount Offered]]</f>
        <v>3831</v>
      </c>
      <c r="M36" s="57">
        <f>+IF(Table13[[#This Row],[WAYR Last]]&gt;0,IF(Table13[[#This Row],[WAYR Current]]&gt;0,(Table13[[#This Row],[WAYR Current]]-Table13[[#This Row],[WAYR Last]]),""),"")</f>
        <v>0.48000000000000043</v>
      </c>
      <c r="N36" s="5"/>
      <c r="O36" s="67">
        <v>44470</v>
      </c>
      <c r="P36" s="67">
        <f>SUMIFS(Table13[Bid Accepted],Table13[Maturity date],"&gt;="&amp;$O36,Table13[Maturity date],"&lt;="&amp;EOMONTH($O36,0),Table13[Days To Maturity],P$2)</f>
        <v>85799</v>
      </c>
      <c r="Q36" s="67">
        <f>SUMIFS(Table13[Bid Accepted],Table13[Maturity date],"&gt;="&amp;$O36,Table13[Maturity date],"&lt;="&amp;EOMONTH($O36,0),Table13[Days To Maturity],Q$2)</f>
        <v>17062</v>
      </c>
      <c r="R36" s="67">
        <f>SUMIFS(Table13[Bid Accepted],Table13[Maturity date],"&gt;="&amp;$O36,Table13[Maturity date],"&lt;="&amp;EOMONTH($O36,0),Table13[Days To Maturity],R$2)</f>
        <v>206613</v>
      </c>
      <c r="S36" s="67">
        <f t="shared" si="0"/>
        <v>309474</v>
      </c>
      <c r="T36" s="67"/>
      <c r="AB36" s="14">
        <f>SUMIFS(Table13[Coupon],Table13[Maturity date],"&gt;="&amp;$O36,Table13[Maturity date],"&lt;="&amp;EOMONTH($O36,0),Table13[Days To Maturity],AB$2)</f>
        <v>4056.4414000000006</v>
      </c>
      <c r="AC36" s="14">
        <f>SUMIFS(Table13[Coupon],Table13[Maturity date],"&gt;="&amp;$O36,Table13[Maturity date],"&lt;="&amp;EOMONTH($O36,0),Table13[Days To Maturity],AC$2)</f>
        <v>437.24814999999995</v>
      </c>
      <c r="AD36" s="14">
        <f>SUMIFS(Table13[Coupon],Table13[Maturity date],"&gt;="&amp;$O36,Table13[Maturity date],"&lt;="&amp;EOMONTH($O36,0),Table13[Days To Maturity],AD$2)</f>
        <v>2691.9496499999996</v>
      </c>
      <c r="AE36" s="14">
        <f t="shared" si="3"/>
        <v>7185.6392000000005</v>
      </c>
      <c r="AH36" s="13">
        <v>43333</v>
      </c>
      <c r="AI36" s="78">
        <v>14000</v>
      </c>
      <c r="AJ36" s="78">
        <v>39615</v>
      </c>
      <c r="AK36" s="78">
        <v>14000</v>
      </c>
      <c r="AL36" s="78">
        <v>25615</v>
      </c>
      <c r="AM36" s="78">
        <v>0</v>
      </c>
      <c r="AN36" s="78">
        <v>9</v>
      </c>
      <c r="AO36" s="77">
        <v>0</v>
      </c>
      <c r="AP36" s="77"/>
      <c r="AQ36" s="15"/>
      <c r="AR36" s="13">
        <v>43690</v>
      </c>
      <c r="AS36" s="16">
        <v>1.65</v>
      </c>
      <c r="AT36" s="17">
        <v>1.31</v>
      </c>
      <c r="AU36" s="17">
        <v>1.4446874999999999</v>
      </c>
      <c r="AV36" s="64">
        <v>1.4697727272727272</v>
      </c>
      <c r="AX36" s="78"/>
      <c r="AY36" s="13">
        <v>43333</v>
      </c>
      <c r="AZ36" s="78">
        <f t="array" ref="AZ36">INDEX(_xlfn._xlws.FILTER(Table13[],Table13[Days To Maturity]=AZ$3),MATCH($AY36,Table13[Date_d],0),8)</f>
        <v>8.09</v>
      </c>
      <c r="BA36" s="78">
        <f t="array" ref="BA36">INDEX(_xlfn._xlws.FILTER(Table13[],Table13[Days To Maturity]=BA$3),MATCH($AY36,Table13[Date_d],0),8)</f>
        <v>9.2899999999999991</v>
      </c>
      <c r="BB36" s="78">
        <f t="array" ref="BB36">INDEX(_xlfn._xlws.FILTER(Table13[],Table13[Days To Maturity]=BB$3),MATCH($AY36,Table13[Date_d],0),8)</f>
        <v>10.19</v>
      </c>
    </row>
    <row r="37" spans="1:54" x14ac:dyDescent="0.2">
      <c r="A37" s="34">
        <v>43320</v>
      </c>
      <c r="B37" s="35" t="s">
        <v>62</v>
      </c>
      <c r="C37" s="35">
        <v>182</v>
      </c>
      <c r="D37" s="35" t="s">
        <v>20</v>
      </c>
      <c r="E37" s="36">
        <v>3000</v>
      </c>
      <c r="F37" s="38">
        <v>6620</v>
      </c>
      <c r="G37" s="38">
        <v>2620</v>
      </c>
      <c r="H37" s="39">
        <v>8.6999999999999993</v>
      </c>
      <c r="I37" s="39">
        <v>9.23</v>
      </c>
      <c r="J37" s="32">
        <f t="array" ref="J3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43504</v>
      </c>
      <c r="K37" s="59">
        <f>IFERROR(Table13[[#This Row],[Bid Accepted]]*(Table13[[#This Row],[WAYR Current]]%/364*Table13[[#This Row],[Days To Maturity]]),0)</f>
        <v>113.97</v>
      </c>
      <c r="L37" s="41">
        <f>+Table13[[#This Row],[Bid Accepted]]-Table13[[#This Row],[Amount Offered]]</f>
        <v>-380</v>
      </c>
      <c r="M37" s="57">
        <f>+IF(Table13[[#This Row],[WAYR Last]]&gt;0,IF(Table13[[#This Row],[WAYR Current]]&gt;0,(Table13[[#This Row],[WAYR Current]]-Table13[[#This Row],[WAYR Last]]),""),"")</f>
        <v>-0.53000000000000114</v>
      </c>
      <c r="N37" s="5"/>
      <c r="O37" s="67">
        <v>44501</v>
      </c>
      <c r="P37" s="67">
        <f>SUMIFS(Table13[Bid Accepted],Table13[Maturity date],"&gt;="&amp;$O37,Table13[Maturity date],"&lt;="&amp;EOMONTH($O37,0),Table13[Days To Maturity],P$2)</f>
        <v>40088</v>
      </c>
      <c r="Q37" s="67">
        <f>SUMIFS(Table13[Bid Accepted],Table13[Maturity date],"&gt;="&amp;$O37,Table13[Maturity date],"&lt;="&amp;EOMONTH($O37,0),Table13[Days To Maturity],Q$2)</f>
        <v>41416</v>
      </c>
      <c r="R37" s="67">
        <f>SUMIFS(Table13[Bid Accepted],Table13[Maturity date],"&gt;="&amp;$O37,Table13[Maturity date],"&lt;="&amp;EOMONTH($O37,0),Table13[Days To Maturity],R$2)</f>
        <v>118881</v>
      </c>
      <c r="S37" s="67">
        <f t="shared" si="0"/>
        <v>200385</v>
      </c>
      <c r="T37" s="67"/>
      <c r="AB37" s="14">
        <f>SUMIFS(Table13[Coupon],Table13[Maturity date],"&gt;="&amp;$O37,Table13[Maturity date],"&lt;="&amp;EOMONTH($O37,0),Table13[Days To Maturity],AB$2)</f>
        <v>1997.4767000000002</v>
      </c>
      <c r="AC37" s="14">
        <f>SUMIFS(Table13[Coupon],Table13[Maturity date],"&gt;="&amp;$O37,Table13[Maturity date],"&lt;="&amp;EOMONTH($O37,0),Table13[Days To Maturity],AC$2)</f>
        <v>1064.3912</v>
      </c>
      <c r="AD37" s="14">
        <f>SUMIFS(Table13[Coupon],Table13[Maturity date],"&gt;="&amp;$O37,Table13[Maturity date],"&lt;="&amp;EOMONTH($O37,0),Table13[Days To Maturity],AD$2)</f>
        <v>1616.9916750000002</v>
      </c>
      <c r="AE37" s="14">
        <f t="shared" si="3"/>
        <v>4678.8595750000004</v>
      </c>
      <c r="AH37" s="13">
        <v>43341</v>
      </c>
      <c r="AI37" s="78">
        <v>7500</v>
      </c>
      <c r="AJ37" s="78">
        <v>25655</v>
      </c>
      <c r="AK37" s="78">
        <v>7500</v>
      </c>
      <c r="AL37" s="78">
        <v>18155</v>
      </c>
      <c r="AM37" s="78">
        <v>0</v>
      </c>
      <c r="AN37" s="78">
        <v>8.99</v>
      </c>
      <c r="AO37" s="77">
        <v>0</v>
      </c>
      <c r="AP37" s="77"/>
      <c r="AQ37" s="15"/>
      <c r="AR37" s="13">
        <v>43698</v>
      </c>
      <c r="AS37" s="16">
        <v>2.0686666666666667</v>
      </c>
      <c r="AT37" s="17">
        <v>1.8</v>
      </c>
      <c r="AU37" s="17">
        <v>1.89</v>
      </c>
      <c r="AV37" s="64">
        <v>1.8973888888888888</v>
      </c>
      <c r="AX37" s="78"/>
      <c r="AY37" s="13">
        <v>43341</v>
      </c>
      <c r="AZ37" s="78">
        <f t="array" ref="AZ37">INDEX(_xlfn._xlws.FILTER(Table13[],Table13[Days To Maturity]=AZ$3),MATCH($AY37,Table13[Date_d],0),8)</f>
        <v>7.89</v>
      </c>
      <c r="BA37" s="78">
        <f t="array" ref="BA37">INDEX(_xlfn._xlws.FILTER(Table13[],Table13[Days To Maturity]=BA$3),MATCH($AY37,Table13[Date_d],0),8)</f>
        <v>9.14</v>
      </c>
      <c r="BB37" s="78">
        <f t="array" ref="BB37">INDEX(_xlfn._xlws.FILTER(Table13[],Table13[Days To Maturity]=BB$3),MATCH($AY37,Table13[Date_d],0),8)</f>
        <v>10.39</v>
      </c>
    </row>
    <row r="38" spans="1:54" x14ac:dyDescent="0.2">
      <c r="A38" s="34">
        <v>43320</v>
      </c>
      <c r="B38" s="35" t="s">
        <v>63</v>
      </c>
      <c r="C38" s="35">
        <v>364</v>
      </c>
      <c r="D38" s="35" t="s">
        <v>20</v>
      </c>
      <c r="E38" s="38">
        <v>12500</v>
      </c>
      <c r="F38" s="38">
        <v>62615</v>
      </c>
      <c r="G38" s="38">
        <v>12880</v>
      </c>
      <c r="H38" s="39">
        <v>9.16</v>
      </c>
      <c r="I38" s="39">
        <v>8.74</v>
      </c>
      <c r="J38" s="32">
        <f t="array" ref="J3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43685</v>
      </c>
      <c r="K38" s="59">
        <f>IFERROR(Table13[[#This Row],[Bid Accepted]]*(Table13[[#This Row],[WAYR Current]]%/364*Table13[[#This Row],[Days To Maturity]]),0)</f>
        <v>1179.808</v>
      </c>
      <c r="L38" s="41">
        <f>+Table13[[#This Row],[Bid Accepted]]-Table13[[#This Row],[Amount Offered]]</f>
        <v>380</v>
      </c>
      <c r="M38" s="57">
        <f>+IF(Table13[[#This Row],[WAYR Last]]&gt;0,IF(Table13[[#This Row],[WAYR Current]]&gt;0,(Table13[[#This Row],[WAYR Current]]-Table13[[#This Row],[WAYR Last]]),""),"")</f>
        <v>0.41999999999999993</v>
      </c>
      <c r="N38" s="5"/>
      <c r="O38" s="67">
        <v>44531</v>
      </c>
      <c r="P38" s="67">
        <f>SUMIFS(Table13[Bid Accepted],Table13[Maturity date],"&gt;="&amp;$O38,Table13[Maturity date],"&lt;="&amp;EOMONTH($O38,0),Table13[Days To Maturity],P$2)</f>
        <v>61696</v>
      </c>
      <c r="Q38" s="67">
        <f>SUMIFS(Table13[Bid Accepted],Table13[Maturity date],"&gt;="&amp;$O38,Table13[Maturity date],"&lt;="&amp;EOMONTH($O38,0),Table13[Days To Maturity],Q$2)</f>
        <v>15540</v>
      </c>
      <c r="R38" s="67">
        <f>SUMIFS(Table13[Bid Accepted],Table13[Maturity date],"&gt;="&amp;$O38,Table13[Maturity date],"&lt;="&amp;EOMONTH($O38,0),Table13[Days To Maturity],R$2)</f>
        <v>120333</v>
      </c>
      <c r="S38" s="67">
        <f t="shared" si="0"/>
        <v>197569</v>
      </c>
      <c r="AB38" s="14">
        <f>SUMIFS(Table13[Coupon],Table13[Maturity date],"&gt;="&amp;$O38,Table13[Maturity date],"&lt;="&amp;EOMONTH($O38,0),Table13[Days To Maturity],AB$2)</f>
        <v>3092.4122000000002</v>
      </c>
      <c r="AC38" s="14">
        <f>SUMIFS(Table13[Coupon],Table13[Maturity date],"&gt;="&amp;$O38,Table13[Maturity date],"&lt;="&amp;EOMONTH($O38,0),Table13[Days To Maturity],AC$2)</f>
        <v>402.00169999999997</v>
      </c>
      <c r="AD38" s="14">
        <f>SUMIFS(Table13[Coupon],Table13[Maturity date],"&gt;="&amp;$O38,Table13[Maturity date],"&lt;="&amp;EOMONTH($O38,0),Table13[Days To Maturity],AD$2)</f>
        <v>1872.739525</v>
      </c>
      <c r="AE38" s="14">
        <f t="shared" si="3"/>
        <v>5367.1534250000004</v>
      </c>
      <c r="AH38" s="13">
        <v>43348</v>
      </c>
      <c r="AI38" s="78">
        <v>7000</v>
      </c>
      <c r="AJ38" s="78">
        <v>21226</v>
      </c>
      <c r="AK38" s="78">
        <v>7000</v>
      </c>
      <c r="AL38" s="78">
        <v>14226</v>
      </c>
      <c r="AM38" s="78">
        <v>0</v>
      </c>
      <c r="AN38" s="78">
        <v>8.9700000000000006</v>
      </c>
      <c r="AO38" s="77">
        <v>0</v>
      </c>
      <c r="AP38" s="77"/>
      <c r="AQ38" s="15"/>
      <c r="AR38" s="13">
        <v>43705</v>
      </c>
      <c r="AS38" s="16">
        <v>5.8019999999999996</v>
      </c>
      <c r="AT38" s="17">
        <v>4.0860000000000003</v>
      </c>
      <c r="AU38" s="17">
        <v>2.5809523809523811</v>
      </c>
      <c r="AV38" s="64">
        <v>2.9590399999999999</v>
      </c>
      <c r="AX38" s="78"/>
      <c r="AY38" s="13">
        <v>43348</v>
      </c>
      <c r="AZ38" s="78">
        <f t="array" ref="AZ38">INDEX(_xlfn._xlws.FILTER(Table13[],Table13[Days To Maturity]=AZ$3),MATCH($AY38,Table13[Date_d],0),8)</f>
        <v>7.75</v>
      </c>
      <c r="BA38" s="78">
        <f t="array" ref="BA38">INDEX(_xlfn._xlws.FILTER(Table13[],Table13[Days To Maturity]=BA$3),MATCH($AY38,Table13[Date_d],0),8)</f>
        <v>9</v>
      </c>
      <c r="BB38" s="78">
        <f t="array" ref="BB38">INDEX(_xlfn._xlws.FILTER(Table13[],Table13[Days To Maturity]=BB$3),MATCH($AY38,Table13[Date_d],0),8)</f>
        <v>10.89</v>
      </c>
    </row>
    <row r="39" spans="1:54" x14ac:dyDescent="0.2">
      <c r="A39" s="9">
        <v>43327</v>
      </c>
      <c r="B39" s="10" t="s">
        <v>64</v>
      </c>
      <c r="C39" s="10">
        <v>182</v>
      </c>
      <c r="D39" s="10" t="s">
        <v>20</v>
      </c>
      <c r="E39" s="14">
        <v>4000</v>
      </c>
      <c r="F39" s="18">
        <v>12640</v>
      </c>
      <c r="G39" s="18">
        <v>4000</v>
      </c>
      <c r="H39" s="37">
        <v>8.6199999999999992</v>
      </c>
      <c r="I39" s="37">
        <v>9.16</v>
      </c>
      <c r="J39" s="32">
        <f t="array" ref="J3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43511</v>
      </c>
      <c r="K39" s="59">
        <f>IFERROR(Table13[[#This Row],[Bid Accepted]]*(Table13[[#This Row],[WAYR Current]]%/364*Table13[[#This Row],[Days To Maturity]]),0)</f>
        <v>172.4</v>
      </c>
      <c r="L39" s="41">
        <f>+Table13[[#This Row],[Bid Accepted]]-Table13[[#This Row],[Amount Offered]]</f>
        <v>0</v>
      </c>
      <c r="M39" s="57">
        <f>+IF(Table13[[#This Row],[WAYR Last]]&gt;0,IF(Table13[[#This Row],[WAYR Current]]&gt;0,(Table13[[#This Row],[WAYR Current]]-Table13[[#This Row],[WAYR Last]]),""),"")</f>
        <v>-0.54000000000000092</v>
      </c>
      <c r="N39" s="5"/>
      <c r="O39" s="67">
        <v>44562</v>
      </c>
      <c r="P39" s="67">
        <f>SUMIFS(Table13[Bid Accepted],Table13[Maturity date],"&gt;="&amp;$O39,Table13[Maturity date],"&lt;="&amp;EOMONTH($O39,0),Table13[Days To Maturity],P$2)</f>
        <v>84563</v>
      </c>
      <c r="Q39" s="67">
        <f>SUMIFS(Table13[Bid Accepted],Table13[Maturity date],"&gt;="&amp;$O39,Table13[Maturity date],"&lt;="&amp;EOMONTH($O39,0),Table13[Days To Maturity],Q$2)</f>
        <v>11677</v>
      </c>
      <c r="R39" s="67">
        <f>SUMIFS(Table13[Bid Accepted],Table13[Maturity date],"&gt;="&amp;$O39,Table13[Maturity date],"&lt;="&amp;EOMONTH($O39,0),Table13[Days To Maturity],R$2)</f>
        <v>228291</v>
      </c>
      <c r="S39" s="67">
        <f t="shared" si="0"/>
        <v>324531</v>
      </c>
      <c r="U39" s="20"/>
      <c r="V39" s="21" t="s">
        <v>13</v>
      </c>
      <c r="W39" s="21" t="s">
        <v>14</v>
      </c>
      <c r="X39" s="22"/>
      <c r="Y39" s="22"/>
      <c r="AH39" s="13">
        <v>43355</v>
      </c>
      <c r="AI39" s="78">
        <v>12500</v>
      </c>
      <c r="AJ39" s="78">
        <v>21199</v>
      </c>
      <c r="AK39" s="78">
        <v>12500</v>
      </c>
      <c r="AL39" s="78">
        <v>8699</v>
      </c>
      <c r="AM39" s="78">
        <v>0</v>
      </c>
      <c r="AN39" s="78">
        <v>9.0500000000000007</v>
      </c>
      <c r="AO39" s="77">
        <v>0</v>
      </c>
      <c r="AP39" s="77"/>
      <c r="AQ39" s="15"/>
      <c r="AR39" s="13">
        <v>43712</v>
      </c>
      <c r="AS39" s="16">
        <v>3.2040000000000002</v>
      </c>
      <c r="AT39" s="17">
        <v>2.2040000000000002</v>
      </c>
      <c r="AU39" s="17">
        <v>2.0538461538461537</v>
      </c>
      <c r="AV39" s="64">
        <v>2.1405333333333334</v>
      </c>
      <c r="AX39" s="78"/>
      <c r="AY39" s="13">
        <v>43355</v>
      </c>
      <c r="AZ39" s="78">
        <f t="array" ref="AZ39">INDEX(_xlfn._xlws.FILTER(Table13[],Table13[Days To Maturity]=AZ$3),MATCH($AY39,Table13[Date_d],0),8)</f>
        <v>7.84</v>
      </c>
      <c r="BA39" s="78">
        <f t="array" ref="BA39">INDEX(_xlfn._xlws.FILTER(Table13[],Table13[Days To Maturity]=BA$3),MATCH($AY39,Table13[Date_d],0),8)</f>
        <v>8.7100000000000009</v>
      </c>
      <c r="BB39" s="78">
        <f t="array" ref="BB39">INDEX(_xlfn._xlws.FILTER(Table13[],Table13[Days To Maturity]=BB$3),MATCH($AY39,Table13[Date_d],0),8)</f>
        <v>11.21</v>
      </c>
    </row>
    <row r="40" spans="1:54" x14ac:dyDescent="0.2">
      <c r="A40" s="9">
        <v>43327</v>
      </c>
      <c r="B40" s="10" t="s">
        <v>65</v>
      </c>
      <c r="C40" s="10">
        <v>364</v>
      </c>
      <c r="D40" s="10" t="s">
        <v>20</v>
      </c>
      <c r="E40" s="14">
        <v>11000</v>
      </c>
      <c r="F40" s="18">
        <v>56442</v>
      </c>
      <c r="G40" s="18">
        <v>11000</v>
      </c>
      <c r="H40" s="37">
        <v>9</v>
      </c>
      <c r="I40" s="37" t="s">
        <v>54</v>
      </c>
      <c r="J40" s="32">
        <f t="array" ref="J4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43692</v>
      </c>
      <c r="K40" s="59">
        <f>IFERROR(Table13[[#This Row],[Bid Accepted]]*(Table13[[#This Row],[WAYR Current]]%/364*Table13[[#This Row],[Days To Maturity]]),0)</f>
        <v>990</v>
      </c>
      <c r="L40" s="41">
        <f>+Table13[[#This Row],[Bid Accepted]]-Table13[[#This Row],[Amount Offered]]</f>
        <v>0</v>
      </c>
      <c r="M40" s="57" t="e">
        <f>+IF(Table13[[#This Row],[WAYR Last]]&gt;0,IF(Table13[[#This Row],[WAYR Current]]&gt;0,(Table13[[#This Row],[WAYR Current]]-Table13[[#This Row],[WAYR Last]]),""),"")</f>
        <v>#VALUE!</v>
      </c>
      <c r="N40" s="23"/>
      <c r="O40" s="67">
        <v>44593</v>
      </c>
      <c r="P40" s="67">
        <f>SUMIFS(Table13[Bid Accepted],Table13[Maturity date],"&gt;="&amp;$O40,Table13[Maturity date],"&lt;="&amp;EOMONTH($O40,0),Table13[Days To Maturity],P$2)</f>
        <v>22015</v>
      </c>
      <c r="Q40" s="67">
        <f>SUMIFS(Table13[Bid Accepted],Table13[Maturity date],"&gt;="&amp;$O40,Table13[Maturity date],"&lt;="&amp;EOMONTH($O40,0),Table13[Days To Maturity],Q$2)</f>
        <v>10555</v>
      </c>
      <c r="R40" s="67">
        <f>SUMIFS(Table13[Bid Accepted],Table13[Maturity date],"&gt;="&amp;$O40,Table13[Maturity date],"&lt;="&amp;EOMONTH($O40,0),Table13[Days To Maturity],R$2)</f>
        <v>211642</v>
      </c>
      <c r="S40" s="67">
        <f t="shared" si="0"/>
        <v>244212</v>
      </c>
      <c r="U40" s="20"/>
      <c r="V40" s="22"/>
      <c r="W40" s="22"/>
      <c r="X40" s="22"/>
      <c r="Y40" s="22"/>
      <c r="AH40" s="13">
        <v>43362</v>
      </c>
      <c r="AI40" s="78">
        <v>13500</v>
      </c>
      <c r="AJ40" s="78">
        <v>22195</v>
      </c>
      <c r="AK40" s="78">
        <v>0</v>
      </c>
      <c r="AL40" s="78">
        <v>8695</v>
      </c>
      <c r="AM40" s="78">
        <v>-13500</v>
      </c>
      <c r="AN40" s="78">
        <v>0</v>
      </c>
      <c r="AO40" s="77">
        <v>-1</v>
      </c>
      <c r="AP40" s="77"/>
      <c r="AQ40" s="15"/>
      <c r="AR40" s="13">
        <v>43718</v>
      </c>
      <c r="AS40" s="16">
        <v>6.5049999999999999</v>
      </c>
      <c r="AT40" s="17">
        <v>4.6520000000000001</v>
      </c>
      <c r="AU40" s="17">
        <v>1.75</v>
      </c>
      <c r="AV40" s="64">
        <v>2.2299545454545453</v>
      </c>
      <c r="AX40" s="78"/>
      <c r="AY40" s="13">
        <v>43362</v>
      </c>
      <c r="AZ40" s="78">
        <f t="array" ref="AZ40">INDEX(_xlfn._xlws.FILTER(Table13[],Table13[Days To Maturity]=AZ$3),MATCH($AY40,Table13[Date_d],0),8)</f>
        <v>0</v>
      </c>
      <c r="BA40" s="78">
        <f t="array" ref="BA40">INDEX(_xlfn._xlws.FILTER(Table13[],Table13[Days To Maturity]=BA$3),MATCH($AY40,Table13[Date_d],0),8)</f>
        <v>8.6300000000000008</v>
      </c>
      <c r="BB40" s="78">
        <f t="array" ref="BB40">INDEX(_xlfn._xlws.FILTER(Table13[],Table13[Days To Maturity]=BB$3),MATCH($AY40,Table13[Date_d],0),8)</f>
        <v>11.2</v>
      </c>
    </row>
    <row r="41" spans="1:54" x14ac:dyDescent="0.2">
      <c r="A41" s="34">
        <v>43333</v>
      </c>
      <c r="B41" s="35" t="s">
        <v>66</v>
      </c>
      <c r="C41" s="35">
        <v>182</v>
      </c>
      <c r="D41" s="35" t="s">
        <v>20</v>
      </c>
      <c r="E41" s="38">
        <v>2000</v>
      </c>
      <c r="F41" s="38">
        <v>10740</v>
      </c>
      <c r="G41" s="38">
        <v>2000</v>
      </c>
      <c r="H41" s="39">
        <v>8.6</v>
      </c>
      <c r="I41" s="39">
        <v>9</v>
      </c>
      <c r="J41" s="32">
        <f t="array" ref="J4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43517</v>
      </c>
      <c r="K41" s="59">
        <f>IFERROR(Table13[[#This Row],[Bid Accepted]]*(Table13[[#This Row],[WAYR Current]]%/364*Table13[[#This Row],[Days To Maturity]]),0)</f>
        <v>86</v>
      </c>
      <c r="L41" s="41">
        <f>+Table13[[#This Row],[Bid Accepted]]-Table13[[#This Row],[Amount Offered]]</f>
        <v>0</v>
      </c>
      <c r="M41" s="57">
        <f>+IF(Table13[[#This Row],[WAYR Last]]&gt;0,IF(Table13[[#This Row],[WAYR Current]]&gt;0,(Table13[[#This Row],[WAYR Current]]-Table13[[#This Row],[WAYR Last]]),""),"")</f>
        <v>-0.40000000000000036</v>
      </c>
      <c r="N41" s="23"/>
      <c r="O41" s="67">
        <v>44621</v>
      </c>
      <c r="P41" s="67">
        <f>SUMIFS(Table13[Bid Accepted],Table13[Maturity date],"&gt;="&amp;$O41,Table13[Maturity date],"&lt;="&amp;EOMONTH($O41,0),Table13[Days To Maturity],P$2)</f>
        <v>3637</v>
      </c>
      <c r="Q41" s="67">
        <f>SUMIFS(Table13[Bid Accepted],Table13[Maturity date],"&gt;="&amp;$O41,Table13[Maturity date],"&lt;="&amp;EOMONTH($O41,0),Table13[Days To Maturity],Q$2)</f>
        <v>2453</v>
      </c>
      <c r="R41" s="67">
        <f>SUMIFS(Table13[Bid Accepted],Table13[Maturity date],"&gt;="&amp;$O41,Table13[Maturity date],"&lt;="&amp;EOMONTH($O41,0),Table13[Days To Maturity],R$2)</f>
        <v>82903</v>
      </c>
      <c r="S41" s="67">
        <f t="shared" si="0"/>
        <v>88993</v>
      </c>
      <c r="T41" s="67"/>
      <c r="U41" s="24" t="s">
        <v>67</v>
      </c>
      <c r="V41" s="25">
        <f>SUM(S3:S5)</f>
        <v>255256</v>
      </c>
      <c r="W41" s="26">
        <f>SUM(X3:X5)</f>
        <v>294500</v>
      </c>
      <c r="X41" s="20"/>
      <c r="Y41" s="20"/>
      <c r="AH41" s="13">
        <v>43369</v>
      </c>
      <c r="AI41" s="78">
        <v>5000</v>
      </c>
      <c r="AJ41" s="78">
        <v>10302</v>
      </c>
      <c r="AK41" s="78">
        <v>3302</v>
      </c>
      <c r="AL41" s="78">
        <v>5302</v>
      </c>
      <c r="AM41" s="78">
        <v>-1698</v>
      </c>
      <c r="AN41" s="78">
        <v>9.51</v>
      </c>
      <c r="AO41" s="77">
        <v>-0.33960000000000001</v>
      </c>
      <c r="AP41" s="77"/>
      <c r="AQ41" s="15"/>
      <c r="AR41" s="13">
        <v>43726</v>
      </c>
      <c r="AS41" s="16">
        <v>3.05</v>
      </c>
      <c r="AT41" s="17">
        <v>5.1040000000000001</v>
      </c>
      <c r="AU41" s="17">
        <v>3.1741818181818182</v>
      </c>
      <c r="AV41" s="64">
        <v>3.3719999999999999</v>
      </c>
      <c r="AX41" s="78"/>
      <c r="AY41" s="13">
        <v>43369</v>
      </c>
      <c r="AZ41" s="78">
        <f t="array" ref="AZ41">INDEX(_xlfn._xlws.FILTER(Table13[],Table13[Days To Maturity]=AZ$3),MATCH($AY41,Table13[Date_d],0),8)</f>
        <v>0</v>
      </c>
      <c r="BA41" s="78">
        <f t="array" ref="BA41">INDEX(_xlfn._xlws.FILTER(Table13[],Table13[Days To Maturity]=BA$3),MATCH($AY41,Table13[Date_d],0),8)</f>
        <v>8.6</v>
      </c>
      <c r="BB41" s="78">
        <f t="array" ref="BB41">INDEX(_xlfn._xlws.FILTER(Table13[],Table13[Days To Maturity]=BB$3),MATCH($AY41,Table13[Date_d],0),8)</f>
        <v>11.2</v>
      </c>
    </row>
    <row r="42" spans="1:54" x14ac:dyDescent="0.2">
      <c r="A42" s="34">
        <v>43333</v>
      </c>
      <c r="B42" s="35" t="s">
        <v>68</v>
      </c>
      <c r="C42" s="35">
        <v>364</v>
      </c>
      <c r="D42" s="35" t="s">
        <v>20</v>
      </c>
      <c r="E42" s="38">
        <v>12000</v>
      </c>
      <c r="F42" s="38">
        <v>28875</v>
      </c>
      <c r="G42" s="38">
        <v>12000</v>
      </c>
      <c r="H42" s="39">
        <v>9</v>
      </c>
      <c r="I42" s="39">
        <v>8.6999999999999993</v>
      </c>
      <c r="J42" s="32">
        <f t="array" ref="J4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43698</v>
      </c>
      <c r="K42" s="59">
        <f>IFERROR(Table13[[#This Row],[Bid Accepted]]*(Table13[[#This Row],[WAYR Current]]%/364*Table13[[#This Row],[Days To Maturity]]),0)</f>
        <v>1080</v>
      </c>
      <c r="L42" s="41">
        <f>+Table13[[#This Row],[Bid Accepted]]-Table13[[#This Row],[Amount Offered]]</f>
        <v>0</v>
      </c>
      <c r="M42" s="57">
        <f>+IF(Table13[[#This Row],[WAYR Last]]&gt;0,IF(Table13[[#This Row],[WAYR Current]]&gt;0,(Table13[[#This Row],[WAYR Current]]-Table13[[#This Row],[WAYR Last]]),""),"")</f>
        <v>0.30000000000000071</v>
      </c>
      <c r="N42" s="23"/>
      <c r="O42" s="67">
        <v>44652</v>
      </c>
      <c r="P42" s="67">
        <f>SUMIFS(Table13[Bid Accepted],Table13[Maturity date],"&gt;="&amp;$O42,Table13[Maturity date],"&lt;="&amp;EOMONTH($O42,0),Table13[Days To Maturity],P$2)</f>
        <v>2700</v>
      </c>
      <c r="Q42" s="67">
        <f>SUMIFS(Table13[Bid Accepted],Table13[Maturity date],"&gt;="&amp;$O42,Table13[Maturity date],"&lt;="&amp;EOMONTH($O42,0),Table13[Days To Maturity],Q$2)</f>
        <v>300</v>
      </c>
      <c r="R42" s="67">
        <f>SUMIFS(Table13[Bid Accepted],Table13[Maturity date],"&gt;="&amp;$O42,Table13[Maturity date],"&lt;="&amp;EOMONTH($O42,0),Table13[Days To Maturity],R$2)</f>
        <v>324937</v>
      </c>
      <c r="S42" s="67">
        <f t="shared" si="0"/>
        <v>327937</v>
      </c>
      <c r="T42" s="67"/>
      <c r="U42" s="24" t="s">
        <v>69</v>
      </c>
      <c r="V42" s="25">
        <f>SUM(S6:S8)</f>
        <v>239646</v>
      </c>
      <c r="W42" s="26">
        <f>SUM(X6:X8)</f>
        <v>285234</v>
      </c>
      <c r="X42" s="29"/>
      <c r="Y42" s="20"/>
      <c r="AH42" s="13">
        <v>43376</v>
      </c>
      <c r="AI42" s="78">
        <v>6000</v>
      </c>
      <c r="AJ42" s="78">
        <v>13922</v>
      </c>
      <c r="AK42" s="78">
        <v>0</v>
      </c>
      <c r="AL42" s="78">
        <v>7922</v>
      </c>
      <c r="AM42" s="78">
        <v>-6000</v>
      </c>
      <c r="AN42" s="78">
        <v>0</v>
      </c>
      <c r="AO42" s="77">
        <v>-1</v>
      </c>
      <c r="AP42" s="77"/>
      <c r="AQ42" s="15"/>
      <c r="AR42" s="13">
        <v>43733</v>
      </c>
      <c r="AS42" s="16">
        <v>2.8494000000000002</v>
      </c>
      <c r="AT42" s="17">
        <v>3.0666666666666669</v>
      </c>
      <c r="AU42" s="17">
        <v>2.1835</v>
      </c>
      <c r="AV42" s="64">
        <v>2.48245</v>
      </c>
      <c r="AX42" s="78"/>
      <c r="AY42" s="13">
        <v>43376</v>
      </c>
      <c r="AZ42" s="78">
        <f t="array" ref="AZ42">INDEX(_xlfn._xlws.FILTER(Table13[],Table13[Days To Maturity]=AZ$3),MATCH($AY42,Table13[Date_d],0),8)</f>
        <v>7.6</v>
      </c>
      <c r="BA42" s="78">
        <f t="array" ref="BA42">INDEX(_xlfn._xlws.FILTER(Table13[],Table13[Days To Maturity]=BA$3),MATCH($AY42,Table13[Date_d],0),8)</f>
        <v>8.32</v>
      </c>
      <c r="BB42" s="78">
        <f t="array" ref="BB42">INDEX(_xlfn._xlws.FILTER(Table13[],Table13[Days To Maturity]=BB$3),MATCH($AY42,Table13[Date_d],0),8)</f>
        <v>10.85</v>
      </c>
    </row>
    <row r="43" spans="1:54" x14ac:dyDescent="0.2">
      <c r="A43" s="9">
        <v>43341</v>
      </c>
      <c r="B43" s="10" t="s">
        <v>70</v>
      </c>
      <c r="C43" s="10">
        <v>182</v>
      </c>
      <c r="D43" s="10" t="s">
        <v>71</v>
      </c>
      <c r="E43" s="18" t="s">
        <v>54</v>
      </c>
      <c r="F43" s="18" t="s">
        <v>54</v>
      </c>
      <c r="G43" s="18" t="s">
        <v>54</v>
      </c>
      <c r="H43" s="37" t="s">
        <v>54</v>
      </c>
      <c r="I43" s="37">
        <v>9</v>
      </c>
      <c r="J43" s="32">
        <f t="array" ref="J4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43524</v>
      </c>
      <c r="K43" s="59">
        <f>IFERROR(Table13[[#This Row],[Bid Accepted]]*(Table13[[#This Row],[WAYR Current]]%/364*Table13[[#This Row],[Days To Maturity]]),0)</f>
        <v>0</v>
      </c>
      <c r="L43" s="41" t="e">
        <f>+Table13[[#This Row],[Bid Accepted]]-Table13[[#This Row],[Amount Offered]]</f>
        <v>#VALUE!</v>
      </c>
      <c r="M43" s="57" t="e">
        <f>+IF(Table13[[#This Row],[WAYR Last]]&gt;0,IF(Table13[[#This Row],[WAYR Current]]&gt;0,(Table13[[#This Row],[WAYR Current]]-Table13[[#This Row],[WAYR Last]]),""),"")</f>
        <v>#VALUE!</v>
      </c>
      <c r="N43" s="23"/>
      <c r="T43" s="67"/>
      <c r="U43" s="24" t="s">
        <v>72</v>
      </c>
      <c r="V43" s="25">
        <f>SUM(S9:S11)</f>
        <v>208226</v>
      </c>
      <c r="W43" s="26">
        <f>SUM(X9:X11)</f>
        <v>249187</v>
      </c>
      <c r="X43" s="20"/>
      <c r="Y43" s="20"/>
      <c r="AH43" s="13">
        <v>43383</v>
      </c>
      <c r="AI43" s="78">
        <v>11000</v>
      </c>
      <c r="AJ43" s="78">
        <v>17311</v>
      </c>
      <c r="AK43" s="78">
        <v>11000</v>
      </c>
      <c r="AL43" s="78">
        <v>6311</v>
      </c>
      <c r="AM43" s="78">
        <v>0</v>
      </c>
      <c r="AN43" s="78">
        <v>10.19</v>
      </c>
      <c r="AO43" s="77">
        <v>0</v>
      </c>
      <c r="AP43" s="77"/>
      <c r="AQ43" s="15"/>
      <c r="AR43" s="13">
        <v>43740</v>
      </c>
      <c r="AS43" s="16">
        <v>3.8</v>
      </c>
      <c r="AT43" s="17">
        <v>5.1040000000000001</v>
      </c>
      <c r="AU43" s="17">
        <v>2.8604705882352941</v>
      </c>
      <c r="AV43" s="64">
        <v>3.2431666666666668</v>
      </c>
      <c r="AX43" s="78"/>
      <c r="AY43" s="13">
        <v>43383</v>
      </c>
      <c r="AZ43" s="78">
        <f t="array" ref="AZ43">INDEX(_xlfn._xlws.FILTER(Table13[],Table13[Days To Maturity]=AZ$3),MATCH($AY43,Table13[Date_d],0),8)</f>
        <v>7.5</v>
      </c>
      <c r="BA43" s="78">
        <f t="array" ref="BA43">INDEX(_xlfn._xlws.FILTER(Table13[],Table13[Days To Maturity]=BA$3),MATCH($AY43,Table13[Date_d],0),8)</f>
        <v>7.96</v>
      </c>
      <c r="BB43" s="78">
        <f t="array" ref="BB43">INDEX(_xlfn._xlws.FILTER(Table13[],Table13[Days To Maturity]=BB$3),MATCH($AY43,Table13[Date_d],0),8)</f>
        <v>10.69</v>
      </c>
    </row>
    <row r="44" spans="1:54" x14ac:dyDescent="0.2">
      <c r="A44" s="9">
        <v>43341</v>
      </c>
      <c r="B44" s="10" t="s">
        <v>73</v>
      </c>
      <c r="C44" s="10">
        <v>364</v>
      </c>
      <c r="D44" s="10" t="s">
        <v>20</v>
      </c>
      <c r="E44" s="18">
        <v>7500</v>
      </c>
      <c r="F44" s="18">
        <v>25655</v>
      </c>
      <c r="G44" s="18">
        <v>7500</v>
      </c>
      <c r="H44" s="37">
        <v>8.99</v>
      </c>
      <c r="I44" s="37">
        <v>8.6199999999999992</v>
      </c>
      <c r="J44" s="32">
        <f t="array" ref="J4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43706</v>
      </c>
      <c r="K44" s="59">
        <f>IFERROR(Table13[[#This Row],[Bid Accepted]]*(Table13[[#This Row],[WAYR Current]]%/364*Table13[[#This Row],[Days To Maturity]]),0)</f>
        <v>674.25000000000011</v>
      </c>
      <c r="L44" s="41">
        <f>+Table13[[#This Row],[Bid Accepted]]-Table13[[#This Row],[Amount Offered]]</f>
        <v>0</v>
      </c>
      <c r="M44" s="57">
        <f>+IF(Table13[[#This Row],[WAYR Last]]&gt;0,IF(Table13[[#This Row],[WAYR Current]]&gt;0,(Table13[[#This Row],[WAYR Current]]-Table13[[#This Row],[WAYR Last]]),""),"")</f>
        <v>0.37000000000000099</v>
      </c>
      <c r="N44" s="23"/>
      <c r="T44" s="67"/>
      <c r="U44" s="24" t="s">
        <v>74</v>
      </c>
      <c r="V44" s="25">
        <f>SUM(S12:S14)</f>
        <v>219863</v>
      </c>
      <c r="W44" s="26">
        <f>SUM(X12:X14)</f>
        <v>260753</v>
      </c>
      <c r="X44" s="25">
        <f>SUM(V41:V44)</f>
        <v>922991</v>
      </c>
      <c r="Y44" s="25">
        <f>SUM(W41:W44)</f>
        <v>1089674</v>
      </c>
      <c r="AH44" s="13">
        <v>43390</v>
      </c>
      <c r="AI44" s="78">
        <v>8000</v>
      </c>
      <c r="AJ44" s="78">
        <v>27465</v>
      </c>
      <c r="AK44" s="78">
        <v>7897</v>
      </c>
      <c r="AL44" s="78">
        <v>19465</v>
      </c>
      <c r="AM44" s="78">
        <v>-103</v>
      </c>
      <c r="AN44" s="78">
        <v>10.44</v>
      </c>
      <c r="AO44" s="77">
        <v>-1.2874999999999999E-2</v>
      </c>
      <c r="AP44" s="77"/>
      <c r="AQ44" s="15"/>
      <c r="AR44" s="13">
        <v>43747</v>
      </c>
      <c r="AS44" s="16">
        <v>3.6666666666666665</v>
      </c>
      <c r="AT44" s="17">
        <v>2.0065</v>
      </c>
      <c r="AU44" s="17">
        <v>2.3679166666666664</v>
      </c>
      <c r="AV44" s="64">
        <v>2.3240465116279068</v>
      </c>
      <c r="AX44" s="78"/>
      <c r="AY44" s="13">
        <v>43390</v>
      </c>
      <c r="AZ44" s="78">
        <f t="array" ref="AZ44">INDEX(_xlfn._xlws.FILTER(Table13[],Table13[Days To Maturity]=AZ$3),MATCH($AY44,Table13[Date_d],0),8)</f>
        <v>7.56</v>
      </c>
      <c r="BA44" s="78">
        <f t="array" ref="BA44">INDEX(_xlfn._xlws.FILTER(Table13[],Table13[Days To Maturity]=BA$3),MATCH($AY44,Table13[Date_d],0),8)</f>
        <v>0</v>
      </c>
      <c r="BB44" s="78">
        <f t="array" ref="BB44">INDEX(_xlfn._xlws.FILTER(Table13[],Table13[Days To Maturity]=BB$3),MATCH($AY44,Table13[Date_d],0),8)</f>
        <v>10.73</v>
      </c>
    </row>
    <row r="45" spans="1:54" x14ac:dyDescent="0.2">
      <c r="A45" s="34">
        <v>43348</v>
      </c>
      <c r="B45" s="35" t="s">
        <v>75</v>
      </c>
      <c r="C45" s="35">
        <v>182</v>
      </c>
      <c r="D45" s="35" t="s">
        <v>71</v>
      </c>
      <c r="E45" s="38" t="s">
        <v>54</v>
      </c>
      <c r="F45" s="38" t="s">
        <v>54</v>
      </c>
      <c r="G45" s="38" t="s">
        <v>54</v>
      </c>
      <c r="H45" s="39" t="s">
        <v>54</v>
      </c>
      <c r="I45" s="39">
        <v>8.99</v>
      </c>
      <c r="J45" s="32">
        <f t="array" ref="J4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43529</v>
      </c>
      <c r="K45" s="59">
        <f>IFERROR(Table13[[#This Row],[Bid Accepted]]*(Table13[[#This Row],[WAYR Current]]%/364*Table13[[#This Row],[Days To Maturity]]),0)</f>
        <v>0</v>
      </c>
      <c r="L45" s="41" t="e">
        <f>+Table13[[#This Row],[Bid Accepted]]-Table13[[#This Row],[Amount Offered]]</f>
        <v>#VALUE!</v>
      </c>
      <c r="M45" s="57" t="e">
        <f>+IF(Table13[[#This Row],[WAYR Last]]&gt;0,IF(Table13[[#This Row],[WAYR Current]]&gt;0,(Table13[[#This Row],[WAYR Current]]-Table13[[#This Row],[WAYR Last]]),""),"")</f>
        <v>#VALUE!</v>
      </c>
      <c r="N45" s="23"/>
      <c r="T45" s="67"/>
      <c r="U45" s="24" t="s">
        <v>76</v>
      </c>
      <c r="V45" s="25">
        <f>SUM(S15:S17)</f>
        <v>328466</v>
      </c>
      <c r="W45" s="26">
        <f>SUM(X15:X17)</f>
        <v>353500</v>
      </c>
      <c r="X45" s="30"/>
      <c r="Y45" s="25">
        <f>Y44-X44</f>
        <v>166683</v>
      </c>
      <c r="AH45" s="13">
        <v>43396</v>
      </c>
      <c r="AI45" s="78">
        <v>7500</v>
      </c>
      <c r="AJ45" s="78">
        <v>34293</v>
      </c>
      <c r="AK45" s="78">
        <v>7500</v>
      </c>
      <c r="AL45" s="78">
        <v>26793</v>
      </c>
      <c r="AM45" s="78">
        <v>0</v>
      </c>
      <c r="AN45" s="78">
        <v>10.39</v>
      </c>
      <c r="AO45" s="77">
        <v>0</v>
      </c>
      <c r="AP45" s="77"/>
      <c r="AQ45" s="15"/>
      <c r="AR45" s="13">
        <v>43754</v>
      </c>
      <c r="AS45" s="16">
        <v>1.8333333333333333</v>
      </c>
      <c r="AT45" s="17">
        <v>2.3166153846153845</v>
      </c>
      <c r="AU45" s="17">
        <v>2.9081600000000001</v>
      </c>
      <c r="AV45" s="64">
        <v>2.5868181818181819</v>
      </c>
      <c r="AX45" s="78"/>
      <c r="AY45" s="13">
        <v>43396</v>
      </c>
      <c r="AZ45" s="78">
        <f t="array" ref="AZ45">INDEX(_xlfn._xlws.FILTER(Table13[],Table13[Days To Maturity]=AZ$3),MATCH($AY45,Table13[Date_d],0),8)</f>
        <v>7.45</v>
      </c>
      <c r="BA45" s="78">
        <f t="array" ref="BA45">INDEX(_xlfn._xlws.FILTER(Table13[],Table13[Days To Maturity]=BA$3),MATCH($AY45,Table13[Date_d],0),8)</f>
        <v>0</v>
      </c>
      <c r="BB45" s="78">
        <f t="array" ref="BB45">INDEX(_xlfn._xlws.FILTER(Table13[],Table13[Days To Maturity]=BB$3),MATCH($AY45,Table13[Date_d],0),8)</f>
        <v>10.58</v>
      </c>
    </row>
    <row r="46" spans="1:54" x14ac:dyDescent="0.2">
      <c r="A46" s="34">
        <v>43348</v>
      </c>
      <c r="B46" s="35" t="s">
        <v>77</v>
      </c>
      <c r="C46" s="35">
        <v>364</v>
      </c>
      <c r="D46" s="35" t="s">
        <v>20</v>
      </c>
      <c r="E46" s="36">
        <v>7000</v>
      </c>
      <c r="F46" s="38">
        <v>21226</v>
      </c>
      <c r="G46" s="38">
        <v>7000</v>
      </c>
      <c r="H46" s="39">
        <v>8.9700000000000006</v>
      </c>
      <c r="I46" s="39">
        <v>8.6</v>
      </c>
      <c r="J46" s="32">
        <f t="array" ref="J4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43713</v>
      </c>
      <c r="K46" s="59">
        <f>IFERROR(Table13[[#This Row],[Bid Accepted]]*(Table13[[#This Row],[WAYR Current]]%/364*Table13[[#This Row],[Days To Maturity]]),0)</f>
        <v>627.9</v>
      </c>
      <c r="L46" s="41">
        <f>+Table13[[#This Row],[Bid Accepted]]-Table13[[#This Row],[Amount Offered]]</f>
        <v>0</v>
      </c>
      <c r="M46" s="57">
        <f>+IF(Table13[[#This Row],[WAYR Last]]&gt;0,IF(Table13[[#This Row],[WAYR Current]]&gt;0,(Table13[[#This Row],[WAYR Current]]-Table13[[#This Row],[WAYR Last]]),""),"")</f>
        <v>0.37000000000000099</v>
      </c>
      <c r="N46" s="23"/>
      <c r="T46" s="67"/>
      <c r="U46" s="24" t="s">
        <v>78</v>
      </c>
      <c r="V46" s="25">
        <f>SUM(S18:S20)</f>
        <v>301951</v>
      </c>
      <c r="W46" s="26">
        <f>SUM(X18:X20)</f>
        <v>295214</v>
      </c>
      <c r="X46" s="20"/>
      <c r="Y46" s="20"/>
      <c r="AH46" s="13">
        <v>43404</v>
      </c>
      <c r="AI46" s="78">
        <v>13000</v>
      </c>
      <c r="AJ46" s="78">
        <v>23834</v>
      </c>
      <c r="AK46" s="78">
        <v>0</v>
      </c>
      <c r="AL46" s="78">
        <v>10834</v>
      </c>
      <c r="AM46" s="78">
        <v>-13000</v>
      </c>
      <c r="AN46" s="78">
        <v>0</v>
      </c>
      <c r="AO46" s="77">
        <v>-1</v>
      </c>
      <c r="AP46" s="77"/>
      <c r="AQ46" s="15"/>
      <c r="AR46" s="13">
        <v>43761</v>
      </c>
      <c r="AS46" s="16">
        <v>6.3010000000000002</v>
      </c>
      <c r="AT46" s="17">
        <v>2.5518333333333332</v>
      </c>
      <c r="AU46" s="17">
        <v>1.8133333333333332</v>
      </c>
      <c r="AV46" s="64">
        <v>2.2187272727272727</v>
      </c>
      <c r="AX46" s="78"/>
      <c r="AY46" s="13">
        <v>43404</v>
      </c>
      <c r="AZ46" s="78">
        <f t="array" ref="AZ46">INDEX(_xlfn._xlws.FILTER(Table13[],Table13[Days To Maturity]=AZ$3),MATCH($AY46,Table13[Date_d],0),8)</f>
        <v>7.51</v>
      </c>
      <c r="BA46" s="78">
        <f t="array" ref="BA46">INDEX(_xlfn._xlws.FILTER(Table13[],Table13[Days To Maturity]=BA$3),MATCH($AY46,Table13[Date_d],0),8)</f>
        <v>7.75</v>
      </c>
      <c r="BB46" s="78">
        <f t="array" ref="BB46">INDEX(_xlfn._xlws.FILTER(Table13[],Table13[Days To Maturity]=BB$3),MATCH($AY46,Table13[Date_d],0),8)</f>
        <v>10.15</v>
      </c>
    </row>
    <row r="47" spans="1:54" x14ac:dyDescent="0.2">
      <c r="A47" s="9">
        <v>43355</v>
      </c>
      <c r="B47" s="10" t="s">
        <v>79</v>
      </c>
      <c r="C47" s="10">
        <v>182</v>
      </c>
      <c r="D47" s="10" t="s">
        <v>71</v>
      </c>
      <c r="E47" s="18" t="s">
        <v>54</v>
      </c>
      <c r="F47" s="18" t="s">
        <v>54</v>
      </c>
      <c r="G47" s="18" t="s">
        <v>54</v>
      </c>
      <c r="H47" s="37" t="s">
        <v>54</v>
      </c>
      <c r="I47" s="37">
        <v>8.9700000000000006</v>
      </c>
      <c r="J47" s="32">
        <f t="array" ref="J4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43536</v>
      </c>
      <c r="K47" s="59">
        <f>IFERROR(Table13[[#This Row],[Bid Accepted]]*(Table13[[#This Row],[WAYR Current]]%/364*Table13[[#This Row],[Days To Maturity]]),0)</f>
        <v>0</v>
      </c>
      <c r="L47" s="41" t="e">
        <f>+Table13[[#This Row],[Bid Accepted]]-Table13[[#This Row],[Amount Offered]]</f>
        <v>#VALUE!</v>
      </c>
      <c r="M47" s="57" t="e">
        <f>+IF(Table13[[#This Row],[WAYR Last]]&gt;0,IF(Table13[[#This Row],[WAYR Current]]&gt;0,(Table13[[#This Row],[WAYR Current]]-Table13[[#This Row],[WAYR Last]]),""),"")</f>
        <v>#VALUE!</v>
      </c>
      <c r="N47" s="23"/>
      <c r="T47" s="67"/>
      <c r="U47" s="24" t="s">
        <v>80</v>
      </c>
      <c r="V47" s="25">
        <f>SUM(S21:S23)</f>
        <v>335626</v>
      </c>
      <c r="W47" s="26">
        <f>SUM(X21:X23)</f>
        <v>403568</v>
      </c>
      <c r="X47" s="20"/>
      <c r="Y47" s="20"/>
      <c r="AH47" s="13">
        <v>43411</v>
      </c>
      <c r="AI47" s="78">
        <v>16000</v>
      </c>
      <c r="AJ47" s="78">
        <v>26566</v>
      </c>
      <c r="AK47" s="78">
        <v>15366</v>
      </c>
      <c r="AL47" s="78">
        <v>10566</v>
      </c>
      <c r="AM47" s="78">
        <v>-634</v>
      </c>
      <c r="AN47" s="78">
        <v>10.89</v>
      </c>
      <c r="AO47" s="77">
        <v>-3.9625E-2</v>
      </c>
      <c r="AP47" s="77"/>
      <c r="AQ47" s="15"/>
      <c r="AR47" s="13">
        <v>43768</v>
      </c>
      <c r="AS47" s="16">
        <v>3.9413333333333331</v>
      </c>
      <c r="AT47" s="17">
        <v>3.5110000000000001</v>
      </c>
      <c r="AU47" s="17">
        <v>1.5295652173913044</v>
      </c>
      <c r="AV47" s="64">
        <v>2.1271874999999998</v>
      </c>
      <c r="AX47" s="78"/>
      <c r="AY47" s="13">
        <v>43411</v>
      </c>
      <c r="AZ47" s="78">
        <f t="array" ref="AZ47">INDEX(_xlfn._xlws.FILTER(Table13[],Table13[Days To Maturity]=AZ$3),MATCH($AY47,Table13[Date_d],0),8)</f>
        <v>0</v>
      </c>
      <c r="BA47" s="78">
        <f t="array" ref="BA47">INDEX(_xlfn._xlws.FILTER(Table13[],Table13[Days To Maturity]=BA$3),MATCH($AY47,Table13[Date_d],0),8)</f>
        <v>7.69</v>
      </c>
      <c r="BB47" s="78">
        <f t="array" ref="BB47">INDEX(_xlfn._xlws.FILTER(Table13[],Table13[Days To Maturity]=BB$3),MATCH($AY47,Table13[Date_d],0),8)</f>
        <v>9.91</v>
      </c>
    </row>
    <row r="48" spans="1:54" x14ac:dyDescent="0.2">
      <c r="A48" s="9">
        <v>43355</v>
      </c>
      <c r="B48" s="10" t="s">
        <v>81</v>
      </c>
      <c r="C48" s="10">
        <v>364</v>
      </c>
      <c r="D48" s="10" t="s">
        <v>20</v>
      </c>
      <c r="E48" s="18">
        <v>12500</v>
      </c>
      <c r="F48" s="18">
        <v>21199</v>
      </c>
      <c r="G48" s="18">
        <v>12500</v>
      </c>
      <c r="H48" s="37">
        <v>9.0500000000000007</v>
      </c>
      <c r="I48" s="37" t="s">
        <v>54</v>
      </c>
      <c r="J48" s="32">
        <f t="array" ref="J4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43720</v>
      </c>
      <c r="K48" s="59">
        <f>IFERROR(Table13[[#This Row],[Bid Accepted]]*(Table13[[#This Row],[WAYR Current]]%/364*Table13[[#This Row],[Days To Maturity]]),0)</f>
        <v>1131.2500000000002</v>
      </c>
      <c r="L48" s="41">
        <f>+Table13[[#This Row],[Bid Accepted]]-Table13[[#This Row],[Amount Offered]]</f>
        <v>0</v>
      </c>
      <c r="M48" s="57" t="e">
        <f>+IF(Table13[[#This Row],[WAYR Last]]&gt;0,IF(Table13[[#This Row],[WAYR Current]]&gt;0,(Table13[[#This Row],[WAYR Current]]-Table13[[#This Row],[WAYR Last]]),""),"")</f>
        <v>#VALUE!</v>
      </c>
      <c r="N48" s="23"/>
      <c r="T48" s="67"/>
      <c r="U48" s="24" t="s">
        <v>82</v>
      </c>
      <c r="V48" s="25">
        <f>SUM(S24:S26)</f>
        <v>314861</v>
      </c>
      <c r="W48" s="26">
        <f>SUM(X24:X26)</f>
        <v>327239</v>
      </c>
      <c r="X48" s="25">
        <f>SUM(V45:V48)</f>
        <v>1280904</v>
      </c>
      <c r="Y48" s="25">
        <f>SUM(W45:W48)</f>
        <v>1379521</v>
      </c>
      <c r="AH48" s="13">
        <v>43418</v>
      </c>
      <c r="AI48" s="78">
        <v>14000</v>
      </c>
      <c r="AJ48" s="78">
        <v>38393</v>
      </c>
      <c r="AK48" s="78">
        <v>9856</v>
      </c>
      <c r="AL48" s="78">
        <v>24393</v>
      </c>
      <c r="AM48" s="78">
        <v>-4144</v>
      </c>
      <c r="AN48" s="78">
        <v>11.25</v>
      </c>
      <c r="AO48" s="77">
        <v>-0.29599999999999999</v>
      </c>
      <c r="AP48" s="77"/>
      <c r="AQ48" s="15"/>
      <c r="AR48" s="13">
        <v>43775</v>
      </c>
      <c r="AS48" s="16">
        <v>3.7069999999999999</v>
      </c>
      <c r="AT48" s="17">
        <v>1.901</v>
      </c>
      <c r="AU48" s="17">
        <v>1.45</v>
      </c>
      <c r="AV48" s="64">
        <v>1.8561000000000001</v>
      </c>
      <c r="AX48" s="78"/>
      <c r="AY48" s="13">
        <v>43418</v>
      </c>
      <c r="AZ48" s="78">
        <f t="array" ref="AZ48">INDEX(_xlfn._xlws.FILTER(Table13[],Table13[Days To Maturity]=AZ$3),MATCH($AY48,Table13[Date_d],0),8)</f>
        <v>7.37</v>
      </c>
      <c r="BA48" s="78">
        <f t="array" ref="BA48">INDEX(_xlfn._xlws.FILTER(Table13[],Table13[Days To Maturity]=BA$3),MATCH($AY48,Table13[Date_d],0),8)</f>
        <v>7.67</v>
      </c>
      <c r="BB48" s="78">
        <f t="array" ref="BB48">INDEX(_xlfn._xlws.FILTER(Table13[],Table13[Days To Maturity]=BB$3),MATCH($AY48,Table13[Date_d],0),8)</f>
        <v>9.18</v>
      </c>
    </row>
    <row r="49" spans="1:54" x14ac:dyDescent="0.2">
      <c r="A49" s="34">
        <v>43362</v>
      </c>
      <c r="B49" s="35" t="s">
        <v>83</v>
      </c>
      <c r="C49" s="35">
        <v>182</v>
      </c>
      <c r="D49" s="35" t="s">
        <v>20</v>
      </c>
      <c r="E49" s="38">
        <v>1500</v>
      </c>
      <c r="F49" s="38">
        <v>3742</v>
      </c>
      <c r="G49" s="38" t="s">
        <v>54</v>
      </c>
      <c r="H49" s="39" t="s">
        <v>54</v>
      </c>
      <c r="I49" s="39">
        <v>9.0500000000000007</v>
      </c>
      <c r="J49" s="32">
        <f t="array" ref="J4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43543</v>
      </c>
      <c r="K49" s="59">
        <f>IFERROR(Table13[[#This Row],[Bid Accepted]]*(Table13[[#This Row],[WAYR Current]]%/364*Table13[[#This Row],[Days To Maturity]]),0)</f>
        <v>0</v>
      </c>
      <c r="L49" s="41" t="e">
        <f>+Table13[[#This Row],[Bid Accepted]]-Table13[[#This Row],[Amount Offered]]</f>
        <v>#VALUE!</v>
      </c>
      <c r="M49" s="57" t="e">
        <f>+IF(Table13[[#This Row],[WAYR Last]]&gt;0,IF(Table13[[#This Row],[WAYR Current]]&gt;0,(Table13[[#This Row],[WAYR Current]]-Table13[[#This Row],[WAYR Last]]),""),"")</f>
        <v>#VALUE!</v>
      </c>
      <c r="N49" s="23"/>
      <c r="T49" s="67"/>
      <c r="U49" s="24" t="s">
        <v>84</v>
      </c>
      <c r="V49" s="25">
        <f>SUM(S27:S29)</f>
        <v>411238</v>
      </c>
      <c r="W49" s="30"/>
      <c r="X49" s="30"/>
      <c r="Y49" s="25">
        <f>Y48-X48</f>
        <v>98617</v>
      </c>
      <c r="AH49" s="13">
        <v>43423</v>
      </c>
      <c r="AI49" s="78">
        <v>15500</v>
      </c>
      <c r="AJ49" s="78">
        <v>48526</v>
      </c>
      <c r="AK49" s="78">
        <v>15500</v>
      </c>
      <c r="AL49" s="78">
        <v>33026</v>
      </c>
      <c r="AM49" s="78">
        <v>0</v>
      </c>
      <c r="AN49" s="78">
        <v>11.21</v>
      </c>
      <c r="AO49" s="77">
        <v>0</v>
      </c>
      <c r="AP49" s="77"/>
      <c r="AQ49" s="15"/>
      <c r="AR49" s="13">
        <v>43782</v>
      </c>
      <c r="AS49" s="16">
        <v>2.3010000000000002</v>
      </c>
      <c r="AT49" s="17">
        <v>1.113</v>
      </c>
      <c r="AU49" s="17">
        <v>1.7424999999999999</v>
      </c>
      <c r="AV49" s="64">
        <v>1.6024</v>
      </c>
      <c r="AX49" s="78"/>
      <c r="AY49" s="13">
        <v>43423</v>
      </c>
      <c r="AZ49" s="78">
        <f t="array" ref="AZ49">INDEX(_xlfn._xlws.FILTER(Table13[],Table13[Days To Maturity]=AZ$3),MATCH($AY49,Table13[Date_d],0),8)</f>
        <v>7.42</v>
      </c>
      <c r="BA49" s="78">
        <f t="array" ref="BA49">INDEX(_xlfn._xlws.FILTER(Table13[],Table13[Days To Maturity]=BA$3),MATCH($AY49,Table13[Date_d],0),8)</f>
        <v>7.67</v>
      </c>
      <c r="BB49" s="78">
        <f t="array" ref="BB49">INDEX(_xlfn._xlws.FILTER(Table13[],Table13[Days To Maturity]=BB$3),MATCH($AY49,Table13[Date_d],0),8)</f>
        <v>8.8800000000000008</v>
      </c>
    </row>
    <row r="50" spans="1:54" x14ac:dyDescent="0.2">
      <c r="A50" s="34">
        <v>43362</v>
      </c>
      <c r="B50" s="35" t="s">
        <v>85</v>
      </c>
      <c r="C50" s="35">
        <v>364</v>
      </c>
      <c r="D50" s="35" t="s">
        <v>20</v>
      </c>
      <c r="E50" s="38">
        <v>12000</v>
      </c>
      <c r="F50" s="38">
        <v>18453</v>
      </c>
      <c r="G50" s="38" t="s">
        <v>54</v>
      </c>
      <c r="H50" s="39" t="s">
        <v>54</v>
      </c>
      <c r="I50" s="39" t="s">
        <v>54</v>
      </c>
      <c r="J50" s="32">
        <f t="array" ref="J5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43727</v>
      </c>
      <c r="K50" s="59">
        <f>IFERROR(Table13[[#This Row],[Bid Accepted]]*(Table13[[#This Row],[WAYR Current]]%/364*Table13[[#This Row],[Days To Maturity]]),0)</f>
        <v>0</v>
      </c>
      <c r="L50" s="41" t="e">
        <f>+Table13[[#This Row],[Bid Accepted]]-Table13[[#This Row],[Amount Offered]]</f>
        <v>#VALUE!</v>
      </c>
      <c r="M50" s="57" t="e">
        <f>+IF(Table13[[#This Row],[WAYR Last]]&gt;0,IF(Table13[[#This Row],[WAYR Current]]&gt;0,(Table13[[#This Row],[WAYR Current]]-Table13[[#This Row],[WAYR Last]]),""),"")</f>
        <v>#VALUE!</v>
      </c>
      <c r="N50" s="23"/>
      <c r="T50" s="67"/>
      <c r="U50" s="24" t="s">
        <v>86</v>
      </c>
      <c r="V50" s="25">
        <f>SUM(S30:S32)</f>
        <v>378384</v>
      </c>
      <c r="W50" s="22"/>
      <c r="X50" s="22"/>
      <c r="Y50" s="22"/>
      <c r="AH50" s="13">
        <v>43432</v>
      </c>
      <c r="AI50" s="78">
        <v>18000</v>
      </c>
      <c r="AJ50" s="78">
        <v>57969</v>
      </c>
      <c r="AK50" s="78">
        <v>18000</v>
      </c>
      <c r="AL50" s="78">
        <v>39969</v>
      </c>
      <c r="AM50" s="78">
        <v>0</v>
      </c>
      <c r="AN50" s="78">
        <v>11.2</v>
      </c>
      <c r="AO50" s="77">
        <v>0</v>
      </c>
      <c r="AP50" s="77"/>
      <c r="AQ50" s="15"/>
      <c r="AR50" s="13">
        <v>43789</v>
      </c>
      <c r="AS50" s="16">
        <v>2.1755</v>
      </c>
      <c r="AT50" s="17">
        <v>1.7756000000000001</v>
      </c>
      <c r="AU50" s="17">
        <v>6.0555000000000003</v>
      </c>
      <c r="AV50" s="64">
        <v>4.1123684210526319</v>
      </c>
      <c r="AX50" s="78"/>
      <c r="AY50" s="13">
        <v>43432</v>
      </c>
      <c r="AZ50" s="78">
        <f t="array" ref="AZ50">INDEX(_xlfn._xlws.FILTER(Table13[],Table13[Days To Maturity]=AZ$3),MATCH($AY50,Table13[Date_d],0),8)</f>
        <v>7.27</v>
      </c>
      <c r="BA50" s="78">
        <f t="array" ref="BA50">INDEX(_xlfn._xlws.FILTER(Table13[],Table13[Days To Maturity]=BA$3),MATCH($AY50,Table13[Date_d],0),8)</f>
        <v>7.97</v>
      </c>
      <c r="BB50" s="78">
        <f t="array" ref="BB50">INDEX(_xlfn._xlws.FILTER(Table13[],Table13[Days To Maturity]=BB$3),MATCH($AY50,Table13[Date_d],0),8)</f>
        <v>8.6999999999999993</v>
      </c>
    </row>
    <row r="51" spans="1:54" x14ac:dyDescent="0.2">
      <c r="A51" s="9">
        <v>43369</v>
      </c>
      <c r="B51" s="10" t="s">
        <v>87</v>
      </c>
      <c r="C51" s="10">
        <v>182</v>
      </c>
      <c r="D51" s="10" t="s">
        <v>71</v>
      </c>
      <c r="E51" s="18" t="s">
        <v>54</v>
      </c>
      <c r="F51" s="18" t="s">
        <v>54</v>
      </c>
      <c r="G51" s="18" t="s">
        <v>54</v>
      </c>
      <c r="H51" s="37" t="s">
        <v>54</v>
      </c>
      <c r="I51" s="37" t="s">
        <v>54</v>
      </c>
      <c r="J51" s="32">
        <f t="array" ref="J5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43550</v>
      </c>
      <c r="K51" s="59">
        <f>IFERROR(Table13[[#This Row],[Bid Accepted]]*(Table13[[#This Row],[WAYR Current]]%/364*Table13[[#This Row],[Days To Maturity]]),0)</f>
        <v>0</v>
      </c>
      <c r="L51" s="41" t="e">
        <f>+Table13[[#This Row],[Bid Accepted]]-Table13[[#This Row],[Amount Offered]]</f>
        <v>#VALUE!</v>
      </c>
      <c r="M51" s="57" t="e">
        <f>+IF(Table13[[#This Row],[WAYR Last]]&gt;0,IF(Table13[[#This Row],[WAYR Current]]&gt;0,(Table13[[#This Row],[WAYR Current]]-Table13[[#This Row],[WAYR Last]]),""),"")</f>
        <v>#VALUE!</v>
      </c>
      <c r="N51" s="23"/>
      <c r="T51" s="67"/>
      <c r="U51" s="24" t="s">
        <v>88</v>
      </c>
      <c r="V51" s="25">
        <f>SUM(S33:S35)</f>
        <v>554412</v>
      </c>
      <c r="W51" s="22"/>
      <c r="X51" s="22"/>
      <c r="Y51" s="22"/>
      <c r="AA51" s="78" t="s">
        <v>89</v>
      </c>
      <c r="AH51" s="13">
        <v>43439</v>
      </c>
      <c r="AI51" s="78">
        <v>19000</v>
      </c>
      <c r="AJ51" s="78">
        <v>58249</v>
      </c>
      <c r="AK51" s="78">
        <v>19000</v>
      </c>
      <c r="AL51" s="78">
        <v>39249</v>
      </c>
      <c r="AM51" s="78">
        <v>0</v>
      </c>
      <c r="AN51" s="78">
        <v>11.2</v>
      </c>
      <c r="AO51" s="77">
        <v>0</v>
      </c>
      <c r="AP51" s="77"/>
      <c r="AQ51" s="15"/>
      <c r="AR51" s="13">
        <v>43796</v>
      </c>
      <c r="AS51" s="16">
        <v>5.7770000000000001</v>
      </c>
      <c r="AT51" s="17">
        <v>1.6503333333333334</v>
      </c>
      <c r="AU51" s="17">
        <v>2.2853888888888889</v>
      </c>
      <c r="AV51" s="64">
        <v>2.2059642857142858</v>
      </c>
      <c r="AX51" s="78"/>
      <c r="AY51" s="13">
        <v>43439</v>
      </c>
      <c r="AZ51" s="78">
        <f t="array" ref="AZ51">INDEX(_xlfn._xlws.FILTER(Table13[],Table13[Days To Maturity]=AZ$3),MATCH($AY51,Table13[Date_d],0),8)</f>
        <v>0</v>
      </c>
      <c r="BA51" s="78">
        <f t="array" ref="BA51">INDEX(_xlfn._xlws.FILTER(Table13[],Table13[Days To Maturity]=BA$3),MATCH($AY51,Table13[Date_d],0),8)</f>
        <v>8.1300000000000008</v>
      </c>
      <c r="BB51" s="78">
        <f t="array" ref="BB51">INDEX(_xlfn._xlws.FILTER(Table13[],Table13[Days To Maturity]=BB$3),MATCH($AY51,Table13[Date_d],0),8)</f>
        <v>8.4600000000000009</v>
      </c>
    </row>
    <row r="52" spans="1:54" x14ac:dyDescent="0.2">
      <c r="A52" s="9">
        <v>43369</v>
      </c>
      <c r="B52" s="10" t="s">
        <v>90</v>
      </c>
      <c r="C52" s="10">
        <v>364</v>
      </c>
      <c r="D52" s="10" t="s">
        <v>20</v>
      </c>
      <c r="E52" s="18">
        <v>5000</v>
      </c>
      <c r="F52" s="18">
        <v>10302</v>
      </c>
      <c r="G52" s="18">
        <v>3302</v>
      </c>
      <c r="H52" s="37">
        <v>9.51</v>
      </c>
      <c r="I52" s="37" t="s">
        <v>54</v>
      </c>
      <c r="J52" s="32">
        <f t="array" ref="J5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43734</v>
      </c>
      <c r="K52" s="59">
        <f>IFERROR(Table13[[#This Row],[Bid Accepted]]*(Table13[[#This Row],[WAYR Current]]%/364*Table13[[#This Row],[Days To Maturity]]),0)</f>
        <v>314.02019999999999</v>
      </c>
      <c r="L52" s="41">
        <f>+Table13[[#This Row],[Bid Accepted]]-Table13[[#This Row],[Amount Offered]]</f>
        <v>-1698</v>
      </c>
      <c r="M52" s="57" t="e">
        <f>+IF(Table13[[#This Row],[WAYR Last]]&gt;0,IF(Table13[[#This Row],[WAYR Current]]&gt;0,(Table13[[#This Row],[WAYR Current]]-Table13[[#This Row],[WAYR Last]]),""),"")</f>
        <v>#VALUE!</v>
      </c>
      <c r="N52" s="23"/>
      <c r="T52" s="67"/>
      <c r="U52" s="24" t="s">
        <v>91</v>
      </c>
      <c r="V52" s="25">
        <f>SUM(S36:S38)</f>
        <v>707428</v>
      </c>
      <c r="W52" s="22"/>
      <c r="X52" s="25">
        <f>SUM(V49:V52)</f>
        <v>2051462</v>
      </c>
      <c r="Y52" s="22"/>
      <c r="AA52" s="31">
        <v>450136.82</v>
      </c>
      <c r="AB52" s="31"/>
      <c r="AH52" s="13">
        <v>43446</v>
      </c>
      <c r="AI52" s="78">
        <v>23000</v>
      </c>
      <c r="AJ52" s="78">
        <v>48386</v>
      </c>
      <c r="AK52" s="78">
        <v>23000</v>
      </c>
      <c r="AL52" s="78">
        <v>25386</v>
      </c>
      <c r="AM52" s="78">
        <v>0</v>
      </c>
      <c r="AN52" s="78">
        <v>11.24</v>
      </c>
      <c r="AO52" s="77">
        <v>0</v>
      </c>
      <c r="AP52" s="77"/>
      <c r="AQ52" s="15"/>
      <c r="AR52" s="13">
        <v>43803</v>
      </c>
      <c r="AS52" s="16">
        <v>3.621</v>
      </c>
      <c r="AT52" s="17">
        <v>1.9232</v>
      </c>
      <c r="AU52" s="17">
        <v>2.4710000000000001</v>
      </c>
      <c r="AV52" s="64">
        <v>2.3451063829787233</v>
      </c>
      <c r="AX52" s="78"/>
      <c r="AY52" s="13">
        <v>43446</v>
      </c>
      <c r="AZ52" s="78">
        <f t="array" ref="AZ52">INDEX(_xlfn._xlws.FILTER(Table13[],Table13[Days To Maturity]=AZ$3),MATCH($AY52,Table13[Date_d],0),8)</f>
        <v>6.75</v>
      </c>
      <c r="BA52" s="78">
        <f t="array" ref="BA52">INDEX(_xlfn._xlws.FILTER(Table13[],Table13[Days To Maturity]=BA$3),MATCH($AY52,Table13[Date_d],0),8)</f>
        <v>8.15</v>
      </c>
      <c r="BB52" s="78">
        <f t="array" ref="BB52">INDEX(_xlfn._xlws.FILTER(Table13[],Table13[Days To Maturity]=BB$3),MATCH($AY52,Table13[Date_d],0),8)</f>
        <v>8.11</v>
      </c>
    </row>
    <row r="53" spans="1:54" x14ac:dyDescent="0.2">
      <c r="A53" s="9">
        <v>43376</v>
      </c>
      <c r="B53" s="10" t="s">
        <v>92</v>
      </c>
      <c r="C53" s="10">
        <v>91</v>
      </c>
      <c r="D53" s="10" t="s">
        <v>20</v>
      </c>
      <c r="E53" s="18">
        <v>2000</v>
      </c>
      <c r="F53" s="18">
        <v>3095</v>
      </c>
      <c r="G53" s="18" t="s">
        <v>54</v>
      </c>
      <c r="H53" s="37" t="s">
        <v>54</v>
      </c>
      <c r="I53" s="37" t="s">
        <v>54</v>
      </c>
      <c r="J53" s="32">
        <f t="array" ref="J5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43468</v>
      </c>
      <c r="K53" s="59">
        <f>IFERROR(Table13[[#This Row],[Bid Accepted]]*(Table13[[#This Row],[WAYR Current]]%/364*Table13[[#This Row],[Days To Maturity]]),0)</f>
        <v>0</v>
      </c>
      <c r="L53" s="41" t="e">
        <f>+Table13[[#This Row],[Bid Accepted]]-Table13[[#This Row],[Amount Offered]]</f>
        <v>#VALUE!</v>
      </c>
      <c r="M53" s="57" t="e">
        <f>+IF(Table13[[#This Row],[WAYR Last]]&gt;0,IF(Table13[[#This Row],[WAYR Current]]&gt;0,(Table13[[#This Row],[WAYR Current]]-Table13[[#This Row],[WAYR Last]]),""),"")</f>
        <v>#VALUE!</v>
      </c>
      <c r="N53" s="23"/>
      <c r="T53" s="67"/>
      <c r="AH53" s="13">
        <v>43453</v>
      </c>
      <c r="AI53" s="78">
        <v>18000</v>
      </c>
      <c r="AJ53" s="78">
        <v>62860</v>
      </c>
      <c r="AK53" s="78">
        <v>18000</v>
      </c>
      <c r="AL53" s="78">
        <v>44860</v>
      </c>
      <c r="AM53" s="78">
        <v>0</v>
      </c>
      <c r="AN53" s="78">
        <v>11.2</v>
      </c>
      <c r="AO53" s="77">
        <v>0</v>
      </c>
      <c r="AP53" s="77"/>
      <c r="AQ53" s="15"/>
      <c r="AR53" s="13">
        <v>43809</v>
      </c>
      <c r="AS53" s="16">
        <v>4.1980000000000004</v>
      </c>
      <c r="AT53" s="17">
        <v>1.9448333333333334</v>
      </c>
      <c r="AU53" s="17">
        <v>1.7471428571428571</v>
      </c>
      <c r="AV53" s="64">
        <v>1.9257777777777778</v>
      </c>
      <c r="AX53" s="78"/>
      <c r="AY53" s="13">
        <v>43453</v>
      </c>
      <c r="AZ53" s="78">
        <f t="array" ref="AZ53">INDEX(_xlfn._xlws.FILTER(Table13[],Table13[Days To Maturity]=AZ$3),MATCH($AY53,Table13[Date_d],0),8)</f>
        <v>6.71</v>
      </c>
      <c r="BA53" s="78">
        <f t="array" ref="BA53">INDEX(_xlfn._xlws.FILTER(Table13[],Table13[Days To Maturity]=BA$3),MATCH($AY53,Table13[Date_d],0),8)</f>
        <v>8.06</v>
      </c>
      <c r="BB53" s="78">
        <f t="array" ref="BB53">INDEX(_xlfn._xlws.FILTER(Table13[],Table13[Days To Maturity]=BB$3),MATCH($AY53,Table13[Date_d],0),8)</f>
        <v>8.2200000000000006</v>
      </c>
    </row>
    <row r="54" spans="1:54" x14ac:dyDescent="0.2">
      <c r="A54" s="34">
        <v>43376</v>
      </c>
      <c r="B54" s="35" t="s">
        <v>93</v>
      </c>
      <c r="C54" s="35">
        <v>182</v>
      </c>
      <c r="D54" s="35" t="s">
        <v>71</v>
      </c>
      <c r="E54" s="38" t="s">
        <v>54</v>
      </c>
      <c r="F54" s="38" t="s">
        <v>54</v>
      </c>
      <c r="G54" s="38" t="s">
        <v>54</v>
      </c>
      <c r="H54" s="39" t="s">
        <v>54</v>
      </c>
      <c r="I54" s="39">
        <v>9.51</v>
      </c>
      <c r="J54" s="32">
        <f t="array" ref="J5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43558</v>
      </c>
      <c r="K54" s="59">
        <f>IFERROR(Table13[[#This Row],[Bid Accepted]]*(Table13[[#This Row],[WAYR Current]]%/364*Table13[[#This Row],[Days To Maturity]]),0)</f>
        <v>0</v>
      </c>
      <c r="L54" s="41" t="e">
        <f>+Table13[[#This Row],[Bid Accepted]]-Table13[[#This Row],[Amount Offered]]</f>
        <v>#VALUE!</v>
      </c>
      <c r="M54" s="57" t="e">
        <f>+IF(Table13[[#This Row],[WAYR Last]]&gt;0,IF(Table13[[#This Row],[WAYR Current]]&gt;0,(Table13[[#This Row],[WAYR Current]]-Table13[[#This Row],[WAYR Last]]),""),"")</f>
        <v>#VALUE!</v>
      </c>
      <c r="N54" s="23"/>
      <c r="T54" s="67"/>
      <c r="AH54" s="13">
        <v>43467</v>
      </c>
      <c r="AI54" s="78">
        <v>15500</v>
      </c>
      <c r="AJ54" s="78">
        <v>65500</v>
      </c>
      <c r="AK54" s="78">
        <v>15500</v>
      </c>
      <c r="AL54" s="78">
        <v>50000</v>
      </c>
      <c r="AM54" s="78">
        <v>0</v>
      </c>
      <c r="AN54" s="78">
        <v>10.99</v>
      </c>
      <c r="AO54" s="77">
        <v>0</v>
      </c>
      <c r="AP54" s="77"/>
      <c r="AQ54" s="15"/>
      <c r="AR54" s="13">
        <v>43817</v>
      </c>
      <c r="AS54" s="16">
        <v>1.3244</v>
      </c>
      <c r="AT54" s="17">
        <v>1.4126000000000001</v>
      </c>
      <c r="AU54" s="17">
        <v>1.8712</v>
      </c>
      <c r="AV54" s="64">
        <v>1.6330800000000001</v>
      </c>
      <c r="AX54" s="78"/>
      <c r="AY54" s="13">
        <v>43467</v>
      </c>
      <c r="AZ54" s="78">
        <f t="array" ref="AZ54">INDEX(_xlfn._xlws.FILTER(Table13[],Table13[Days To Maturity]=AZ$3),MATCH($AY54,Table13[Date_d],0),8)</f>
        <v>6.67</v>
      </c>
      <c r="BA54" s="78">
        <f t="array" ref="BA54">INDEX(_xlfn._xlws.FILTER(Table13[],Table13[Days To Maturity]=BA$3),MATCH($AY54,Table13[Date_d],0),8)</f>
        <v>8.01</v>
      </c>
      <c r="BB54" s="78">
        <f t="array" ref="BB54">INDEX(_xlfn._xlws.FILTER(Table13[],Table13[Days To Maturity]=BB$3),MATCH($AY54,Table13[Date_d],0),8)</f>
        <v>8.41</v>
      </c>
    </row>
    <row r="55" spans="1:54" x14ac:dyDescent="0.2">
      <c r="A55" s="34">
        <v>43376</v>
      </c>
      <c r="B55" s="35" t="s">
        <v>94</v>
      </c>
      <c r="C55" s="35">
        <v>364</v>
      </c>
      <c r="D55" s="35" t="s">
        <v>20</v>
      </c>
      <c r="E55" s="38">
        <v>4000</v>
      </c>
      <c r="F55" s="38">
        <v>10827</v>
      </c>
      <c r="G55" s="38" t="s">
        <v>54</v>
      </c>
      <c r="H55" s="39" t="s">
        <v>54</v>
      </c>
      <c r="I55" s="39" t="s">
        <v>54</v>
      </c>
      <c r="J55" s="32">
        <f t="array" ref="J5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43741</v>
      </c>
      <c r="K55" s="59">
        <f>IFERROR(Table13[[#This Row],[Bid Accepted]]*(Table13[[#This Row],[WAYR Current]]%/364*Table13[[#This Row],[Days To Maturity]]),0)</f>
        <v>0</v>
      </c>
      <c r="L55" s="41" t="e">
        <f>+Table13[[#This Row],[Bid Accepted]]-Table13[[#This Row],[Amount Offered]]</f>
        <v>#VALUE!</v>
      </c>
      <c r="M55" s="57" t="e">
        <f>+IF(Table13[[#This Row],[WAYR Last]]&gt;0,IF(Table13[[#This Row],[WAYR Current]]&gt;0,(Table13[[#This Row],[WAYR Current]]-Table13[[#This Row],[WAYR Last]]),""),"")</f>
        <v>#VALUE!</v>
      </c>
      <c r="N55" s="23"/>
      <c r="T55" s="67"/>
      <c r="AH55" s="13">
        <v>43474</v>
      </c>
      <c r="AI55" s="78">
        <v>20000</v>
      </c>
      <c r="AJ55" s="78">
        <v>55838</v>
      </c>
      <c r="AK55" s="78">
        <v>20000</v>
      </c>
      <c r="AL55" s="78">
        <v>35838</v>
      </c>
      <c r="AM55" s="78">
        <v>0</v>
      </c>
      <c r="AN55" s="78">
        <v>10.85</v>
      </c>
      <c r="AO55" s="77">
        <v>0</v>
      </c>
      <c r="AP55" s="77"/>
      <c r="AQ55" s="15"/>
      <c r="AR55" s="13">
        <v>43823</v>
      </c>
      <c r="AS55" s="16">
        <v>7.0720000000000001</v>
      </c>
      <c r="AT55" s="17">
        <v>3.9523999999999999</v>
      </c>
      <c r="AU55" s="17">
        <v>2.1856</v>
      </c>
      <c r="AV55" s="64">
        <v>3.2019259259259258</v>
      </c>
      <c r="AX55" s="78"/>
      <c r="AY55" s="13">
        <v>43474</v>
      </c>
      <c r="AZ55" s="78">
        <f t="array" ref="AZ55">INDEX(_xlfn._xlws.FILTER(Table13[],Table13[Days To Maturity]=AZ$3),MATCH($AY55,Table13[Date_d],0),8)</f>
        <v>5.08</v>
      </c>
      <c r="BA55" s="78">
        <f t="array" ref="BA55">INDEX(_xlfn._xlws.FILTER(Table13[],Table13[Days To Maturity]=BA$3),MATCH($AY55,Table13[Date_d],0),8)</f>
        <v>7.1</v>
      </c>
      <c r="BB55" s="78">
        <f t="array" ref="BB55">INDEX(_xlfn._xlws.FILTER(Table13[],Table13[Days To Maturity]=BB$3),MATCH($AY55,Table13[Date_d],0),8)</f>
        <v>8.41</v>
      </c>
    </row>
    <row r="56" spans="1:54" x14ac:dyDescent="0.2">
      <c r="A56" s="34">
        <v>43383</v>
      </c>
      <c r="B56" s="35" t="s">
        <v>95</v>
      </c>
      <c r="C56" s="35">
        <v>91</v>
      </c>
      <c r="D56" s="35" t="s">
        <v>20</v>
      </c>
      <c r="E56" s="38">
        <v>4000</v>
      </c>
      <c r="F56" s="38">
        <v>6500</v>
      </c>
      <c r="G56" s="38">
        <v>4000</v>
      </c>
      <c r="H56" s="39">
        <v>9.2799999999999994</v>
      </c>
      <c r="I56" s="39" t="s">
        <v>54</v>
      </c>
      <c r="J56" s="32">
        <f t="array" ref="J5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43475</v>
      </c>
      <c r="K56" s="59">
        <f>IFERROR(Table13[[#This Row],[Bid Accepted]]*(Table13[[#This Row],[WAYR Current]]%/364*Table13[[#This Row],[Days To Maturity]]),0)</f>
        <v>92.8</v>
      </c>
      <c r="L56" s="41">
        <f>+Table13[[#This Row],[Bid Accepted]]-Table13[[#This Row],[Amount Offered]]</f>
        <v>0</v>
      </c>
      <c r="M56" s="57" t="e">
        <f>+IF(Table13[[#This Row],[WAYR Last]]&gt;0,IF(Table13[[#This Row],[WAYR Current]]&gt;0,(Table13[[#This Row],[WAYR Current]]-Table13[[#This Row],[WAYR Last]]),""),"")</f>
        <v>#VALUE!</v>
      </c>
      <c r="N56" s="23"/>
      <c r="T56" s="67"/>
      <c r="AH56" s="13">
        <v>43481</v>
      </c>
      <c r="AI56" s="78">
        <v>26000</v>
      </c>
      <c r="AJ56" s="78">
        <v>69751</v>
      </c>
      <c r="AK56" s="78">
        <v>26000</v>
      </c>
      <c r="AL56" s="78">
        <v>43751</v>
      </c>
      <c r="AM56" s="78">
        <v>0</v>
      </c>
      <c r="AN56" s="78">
        <v>10.75</v>
      </c>
      <c r="AO56" s="77">
        <v>0</v>
      </c>
      <c r="AP56" s="77"/>
      <c r="AQ56" s="15"/>
      <c r="AR56" s="13">
        <v>43831</v>
      </c>
      <c r="AS56" s="16">
        <v>2.6505000000000001</v>
      </c>
      <c r="AT56" s="17">
        <v>1.9758888888888888</v>
      </c>
      <c r="AU56" s="17">
        <v>2.7521428571428572</v>
      </c>
      <c r="AV56" s="64">
        <v>2.4645600000000001</v>
      </c>
      <c r="AX56" s="78"/>
      <c r="AY56" s="13">
        <v>43481</v>
      </c>
      <c r="AZ56" s="78">
        <f t="array" ref="AZ56">INDEX(_xlfn._xlws.FILTER(Table13[],Table13[Days To Maturity]=AZ$3),MATCH($AY56,Table13[Date_d],0),8)</f>
        <v>4.5999999999999996</v>
      </c>
      <c r="BA56" s="78">
        <f t="array" ref="BA56">INDEX(_xlfn._xlws.FILTER(Table13[],Table13[Days To Maturity]=BA$3),MATCH($AY56,Table13[Date_d],0),8)</f>
        <v>6.8</v>
      </c>
      <c r="BB56" s="78">
        <f t="array" ref="BB56">INDEX(_xlfn._xlws.FILTER(Table13[],Table13[Days To Maturity]=BB$3),MATCH($AY56,Table13[Date_d],0),8)</f>
        <v>8.35</v>
      </c>
    </row>
    <row r="57" spans="1:54" x14ac:dyDescent="0.2">
      <c r="A57" s="9">
        <v>43383</v>
      </c>
      <c r="B57" s="10" t="s">
        <v>96</v>
      </c>
      <c r="C57" s="10">
        <v>182</v>
      </c>
      <c r="D57" s="10" t="s">
        <v>71</v>
      </c>
      <c r="E57" s="18" t="s">
        <v>54</v>
      </c>
      <c r="F57" s="18" t="s">
        <v>54</v>
      </c>
      <c r="G57" s="18" t="s">
        <v>54</v>
      </c>
      <c r="H57" s="37" t="s">
        <v>54</v>
      </c>
      <c r="I57" s="37" t="s">
        <v>54</v>
      </c>
      <c r="J57" s="32">
        <f t="array" ref="J5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43565</v>
      </c>
      <c r="K57" s="59">
        <f>IFERROR(Table13[[#This Row],[Bid Accepted]]*(Table13[[#This Row],[WAYR Current]]%/364*Table13[[#This Row],[Days To Maturity]]),0)</f>
        <v>0</v>
      </c>
      <c r="L57" s="41" t="e">
        <f>+Table13[[#This Row],[Bid Accepted]]-Table13[[#This Row],[Amount Offered]]</f>
        <v>#VALUE!</v>
      </c>
      <c r="M57" s="57" t="e">
        <f>+IF(Table13[[#This Row],[WAYR Last]]&gt;0,IF(Table13[[#This Row],[WAYR Current]]&gt;0,(Table13[[#This Row],[WAYR Current]]-Table13[[#This Row],[WAYR Last]]),""),"")</f>
        <v>#VALUE!</v>
      </c>
      <c r="N57" s="23"/>
      <c r="T57" s="67"/>
      <c r="AH57" s="13">
        <v>43488</v>
      </c>
      <c r="AI57" s="78">
        <v>23500</v>
      </c>
      <c r="AJ57" s="78">
        <v>58242</v>
      </c>
      <c r="AK57" s="78">
        <v>23500</v>
      </c>
      <c r="AL57" s="78">
        <v>34742</v>
      </c>
      <c r="AM57" s="78">
        <v>0</v>
      </c>
      <c r="AN57" s="78">
        <v>10.7</v>
      </c>
      <c r="AO57" s="77">
        <v>0</v>
      </c>
      <c r="AP57" s="77"/>
      <c r="AQ57" s="15"/>
      <c r="AR57" s="13">
        <v>43837</v>
      </c>
      <c r="AS57" s="16">
        <v>1.3334999999999999</v>
      </c>
      <c r="AT57" s="17">
        <v>1.4414285714285715</v>
      </c>
      <c r="AU57" s="17">
        <v>2.1921875000000002</v>
      </c>
      <c r="AV57" s="64">
        <v>1.9132800000000001</v>
      </c>
      <c r="AX57" s="78"/>
      <c r="AY57" s="13">
        <v>43488</v>
      </c>
      <c r="AZ57" s="78">
        <f t="array" ref="AZ57">INDEX(_xlfn._xlws.FILTER(Table13[],Table13[Days To Maturity]=AZ$3),MATCH($AY57,Table13[Date_d],0),8)</f>
        <v>4.6500000000000004</v>
      </c>
      <c r="BA57" s="78">
        <f t="array" ref="BA57">INDEX(_xlfn._xlws.FILTER(Table13[],Table13[Days To Maturity]=BA$3),MATCH($AY57,Table13[Date_d],0),8)</f>
        <v>6.83</v>
      </c>
      <c r="BB57" s="78">
        <f t="array" ref="BB57">INDEX(_xlfn._xlws.FILTER(Table13[],Table13[Days To Maturity]=BB$3),MATCH($AY57,Table13[Date_d],0),8)</f>
        <v>8.2200000000000006</v>
      </c>
    </row>
    <row r="58" spans="1:54" x14ac:dyDescent="0.2">
      <c r="A58" s="9">
        <v>43383</v>
      </c>
      <c r="B58" s="10" t="s">
        <v>97</v>
      </c>
      <c r="C58" s="10">
        <v>364</v>
      </c>
      <c r="D58" s="10" t="s">
        <v>20</v>
      </c>
      <c r="E58" s="18">
        <v>7000</v>
      </c>
      <c r="F58" s="18">
        <v>10811</v>
      </c>
      <c r="G58" s="18">
        <v>7000</v>
      </c>
      <c r="H58" s="37">
        <v>10.19</v>
      </c>
      <c r="I58" s="37" t="s">
        <v>54</v>
      </c>
      <c r="J58" s="32">
        <f t="array" ref="J5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43748</v>
      </c>
      <c r="K58" s="59">
        <f>IFERROR(Table13[[#This Row],[Bid Accepted]]*(Table13[[#This Row],[WAYR Current]]%/364*Table13[[#This Row],[Days To Maturity]]),0)</f>
        <v>713.30000000000007</v>
      </c>
      <c r="L58" s="41">
        <f>+Table13[[#This Row],[Bid Accepted]]-Table13[[#This Row],[Amount Offered]]</f>
        <v>0</v>
      </c>
      <c r="M58" s="57" t="e">
        <f>+IF(Table13[[#This Row],[WAYR Last]]&gt;0,IF(Table13[[#This Row],[WAYR Current]]&gt;0,(Table13[[#This Row],[WAYR Current]]-Table13[[#This Row],[WAYR Last]]),""),"")</f>
        <v>#VALUE!</v>
      </c>
      <c r="N58" s="23"/>
      <c r="T58" s="67"/>
      <c r="AH58" s="13">
        <v>43495</v>
      </c>
      <c r="AI58" s="78">
        <v>21000</v>
      </c>
      <c r="AJ58" s="78">
        <v>59185</v>
      </c>
      <c r="AK58" s="78">
        <v>21000</v>
      </c>
      <c r="AL58" s="78">
        <v>38185</v>
      </c>
      <c r="AM58" s="78">
        <v>0</v>
      </c>
      <c r="AN58" s="78">
        <v>10.69</v>
      </c>
      <c r="AO58" s="77">
        <v>0</v>
      </c>
      <c r="AP58" s="77"/>
      <c r="AQ58" s="15"/>
      <c r="AR58" s="13">
        <v>43844</v>
      </c>
      <c r="AS58" s="16">
        <v>1.2755000000000001</v>
      </c>
      <c r="AT58" s="17">
        <v>2.3976000000000002</v>
      </c>
      <c r="AU58" s="17">
        <v>2.4166249999999998</v>
      </c>
      <c r="AV58" s="64">
        <v>2.2302399999999998</v>
      </c>
      <c r="AX58" s="78"/>
      <c r="AY58" s="13">
        <v>43495</v>
      </c>
      <c r="AZ58" s="78">
        <f t="array" ref="AZ58">INDEX(_xlfn._xlws.FILTER(Table13[],Table13[Days To Maturity]=AZ$3),MATCH($AY58,Table13[Date_d],0),8)</f>
        <v>4.5199999999999996</v>
      </c>
      <c r="BA58" s="78">
        <f t="array" ref="BA58">INDEX(_xlfn._xlws.FILTER(Table13[],Table13[Days To Maturity]=BA$3),MATCH($AY58,Table13[Date_d],0),8)</f>
        <v>6.8</v>
      </c>
      <c r="BB58" s="78">
        <f t="array" ref="BB58">INDEX(_xlfn._xlws.FILTER(Table13[],Table13[Days To Maturity]=BB$3),MATCH($AY58,Table13[Date_d],0),8)</f>
        <v>8.23</v>
      </c>
    </row>
    <row r="59" spans="1:54" x14ac:dyDescent="0.2">
      <c r="A59" s="9">
        <v>43390</v>
      </c>
      <c r="B59" s="10" t="s">
        <v>98</v>
      </c>
      <c r="C59" s="10">
        <v>91</v>
      </c>
      <c r="D59" s="10" t="s">
        <v>20</v>
      </c>
      <c r="E59" s="18">
        <v>2000</v>
      </c>
      <c r="F59" s="18">
        <v>5323</v>
      </c>
      <c r="G59" s="18">
        <v>3371</v>
      </c>
      <c r="H59" s="37">
        <v>9.48</v>
      </c>
      <c r="I59" s="37">
        <v>9.2799999999999994</v>
      </c>
      <c r="J59" s="32">
        <f t="array" ref="J5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43482</v>
      </c>
      <c r="K59" s="59">
        <f>IFERROR(Table13[[#This Row],[Bid Accepted]]*(Table13[[#This Row],[WAYR Current]]%/364*Table13[[#This Row],[Days To Maturity]]),0)</f>
        <v>79.892700000000019</v>
      </c>
      <c r="L59" s="41">
        <f>+Table13[[#This Row],[Bid Accepted]]-Table13[[#This Row],[Amount Offered]]</f>
        <v>1371</v>
      </c>
      <c r="M59" s="57">
        <f>+IF(Table13[[#This Row],[WAYR Last]]&gt;0,IF(Table13[[#This Row],[WAYR Current]]&gt;0,(Table13[[#This Row],[WAYR Current]]-Table13[[#This Row],[WAYR Last]]),""),"")</f>
        <v>0.20000000000000107</v>
      </c>
      <c r="N59" s="23"/>
      <c r="T59" s="67"/>
      <c r="AH59" s="13">
        <v>43502</v>
      </c>
      <c r="AI59" s="78">
        <v>24000</v>
      </c>
      <c r="AJ59" s="78">
        <v>57669</v>
      </c>
      <c r="AK59" s="78">
        <v>24000</v>
      </c>
      <c r="AL59" s="78">
        <v>33669</v>
      </c>
      <c r="AM59" s="78">
        <v>0</v>
      </c>
      <c r="AN59" s="78">
        <v>10.69</v>
      </c>
      <c r="AO59" s="77">
        <v>0</v>
      </c>
      <c r="AP59" s="77"/>
      <c r="AQ59" s="15"/>
      <c r="AR59" s="13">
        <v>43852</v>
      </c>
      <c r="AS59" s="16">
        <v>3.3946666666666667</v>
      </c>
      <c r="AT59" s="17">
        <v>3.0448</v>
      </c>
      <c r="AU59" s="17">
        <v>2.0978787878787877</v>
      </c>
      <c r="AV59" s="64">
        <v>2.4526666666666666</v>
      </c>
      <c r="AX59" s="78"/>
      <c r="AY59" s="13">
        <v>43502</v>
      </c>
      <c r="AZ59" s="78">
        <f t="array" ref="AZ59">INDEX(_xlfn._xlws.FILTER(Table13[],Table13[Days To Maturity]=AZ$3),MATCH($AY59,Table13[Date_d],0),8)</f>
        <v>4.51</v>
      </c>
      <c r="BA59" s="78">
        <f t="array" ref="BA59">INDEX(_xlfn._xlws.FILTER(Table13[],Table13[Days To Maturity]=BA$3),MATCH($AY59,Table13[Date_d],0),8)</f>
        <v>5.53</v>
      </c>
      <c r="BB59" s="78">
        <f t="array" ref="BB59">INDEX(_xlfn._xlws.FILTER(Table13[],Table13[Days To Maturity]=BB$3),MATCH($AY59,Table13[Date_d],0),8)</f>
        <v>8.4499999999999993</v>
      </c>
    </row>
    <row r="60" spans="1:54" x14ac:dyDescent="0.2">
      <c r="A60" s="34">
        <v>43390</v>
      </c>
      <c r="B60" s="35" t="s">
        <v>99</v>
      </c>
      <c r="C60" s="35">
        <v>182</v>
      </c>
      <c r="D60" s="35" t="s">
        <v>20</v>
      </c>
      <c r="E60" s="38">
        <v>1000</v>
      </c>
      <c r="F60" s="38">
        <v>2950</v>
      </c>
      <c r="G60" s="38">
        <v>300</v>
      </c>
      <c r="H60" s="39">
        <v>9.75</v>
      </c>
      <c r="I60" s="39" t="s">
        <v>54</v>
      </c>
      <c r="J60" s="32">
        <f t="array" ref="J6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43572</v>
      </c>
      <c r="K60" s="59">
        <f>IFERROR(Table13[[#This Row],[Bid Accepted]]*(Table13[[#This Row],[WAYR Current]]%/364*Table13[[#This Row],[Days To Maturity]]),0)</f>
        <v>14.625</v>
      </c>
      <c r="L60" s="41">
        <f>+Table13[[#This Row],[Bid Accepted]]-Table13[[#This Row],[Amount Offered]]</f>
        <v>-700</v>
      </c>
      <c r="M60" s="57" t="e">
        <f>+IF(Table13[[#This Row],[WAYR Last]]&gt;0,IF(Table13[[#This Row],[WAYR Current]]&gt;0,(Table13[[#This Row],[WAYR Current]]-Table13[[#This Row],[WAYR Last]]),""),"")</f>
        <v>#VALUE!</v>
      </c>
      <c r="N60" s="23"/>
      <c r="T60" s="67"/>
      <c r="AH60" s="13">
        <v>43509</v>
      </c>
      <c r="AI60" s="78">
        <v>21000</v>
      </c>
      <c r="AJ60" s="78">
        <v>53277</v>
      </c>
      <c r="AK60" s="78">
        <v>21000</v>
      </c>
      <c r="AL60" s="78">
        <v>32277</v>
      </c>
      <c r="AM60" s="78">
        <v>0</v>
      </c>
      <c r="AN60" s="78">
        <v>10.72</v>
      </c>
      <c r="AO60" s="77">
        <v>0</v>
      </c>
      <c r="AP60" s="77"/>
      <c r="AQ60" s="15"/>
      <c r="AR60" s="13">
        <v>43859</v>
      </c>
      <c r="AS60" s="16">
        <v>4.4939999999999998</v>
      </c>
      <c r="AT60" s="17">
        <v>2.9268749999999999</v>
      </c>
      <c r="AU60" s="17">
        <v>3.2853142857142856</v>
      </c>
      <c r="AV60" s="64">
        <v>3.2227169811320753</v>
      </c>
      <c r="AX60" s="78"/>
      <c r="AY60" s="13">
        <v>43509</v>
      </c>
      <c r="AZ60" s="78">
        <f t="array" ref="AZ60">INDEX(_xlfn._xlws.FILTER(Table13[],Table13[Days To Maturity]=AZ$3),MATCH($AY60,Table13[Date_d],0),8)</f>
        <v>4.59</v>
      </c>
      <c r="BA60" s="78">
        <f t="array" ref="BA60">INDEX(_xlfn._xlws.FILTER(Table13[],Table13[Days To Maturity]=BA$3),MATCH($AY60,Table13[Date_d],0),8)</f>
        <v>4.75</v>
      </c>
      <c r="BB60" s="78">
        <f t="array" ref="BB60">INDEX(_xlfn._xlws.FILTER(Table13[],Table13[Days To Maturity]=BB$3),MATCH($AY60,Table13[Date_d],0),8)</f>
        <v>8.61</v>
      </c>
    </row>
    <row r="61" spans="1:54" x14ac:dyDescent="0.2">
      <c r="A61" s="34">
        <v>43390</v>
      </c>
      <c r="B61" s="35" t="s">
        <v>100</v>
      </c>
      <c r="C61" s="35">
        <v>364</v>
      </c>
      <c r="D61" s="35" t="s">
        <v>20</v>
      </c>
      <c r="E61" s="38">
        <v>5000</v>
      </c>
      <c r="F61" s="38">
        <v>19192</v>
      </c>
      <c r="G61" s="38">
        <v>4226</v>
      </c>
      <c r="H61" s="39">
        <v>10.44</v>
      </c>
      <c r="I61" s="39">
        <v>10.19</v>
      </c>
      <c r="J61" s="32">
        <f t="array" ref="J6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43755</v>
      </c>
      <c r="K61" s="59">
        <f>IFERROR(Table13[[#This Row],[Bid Accepted]]*(Table13[[#This Row],[WAYR Current]]%/364*Table13[[#This Row],[Days To Maturity]]),0)</f>
        <v>441.19439999999997</v>
      </c>
      <c r="L61" s="41">
        <f>+Table13[[#This Row],[Bid Accepted]]-Table13[[#This Row],[Amount Offered]]</f>
        <v>-774</v>
      </c>
      <c r="M61" s="57">
        <f>+IF(Table13[[#This Row],[WAYR Last]]&gt;0,IF(Table13[[#This Row],[WAYR Current]]&gt;0,(Table13[[#This Row],[WAYR Current]]-Table13[[#This Row],[WAYR Last]]),""),"")</f>
        <v>0.25</v>
      </c>
      <c r="N61" s="23"/>
      <c r="T61" s="67"/>
      <c r="AH61" s="13">
        <v>43516</v>
      </c>
      <c r="AI61" s="78">
        <v>22500</v>
      </c>
      <c r="AJ61" s="78">
        <v>60201</v>
      </c>
      <c r="AK61" s="78">
        <v>22500</v>
      </c>
      <c r="AL61" s="78">
        <v>37701</v>
      </c>
      <c r="AM61" s="78">
        <v>0</v>
      </c>
      <c r="AN61" s="78">
        <v>10.73</v>
      </c>
      <c r="AO61" s="77">
        <v>0</v>
      </c>
      <c r="AP61" s="77"/>
      <c r="AQ61" s="15"/>
      <c r="AR61" s="13">
        <v>43866</v>
      </c>
      <c r="AS61" s="16">
        <v>2.8085</v>
      </c>
      <c r="AT61" s="17">
        <v>4.4812500000000002</v>
      </c>
      <c r="AU61" s="17">
        <v>2.4735555555555555</v>
      </c>
      <c r="AV61" s="64">
        <v>3.0535999999999999</v>
      </c>
      <c r="AX61" s="78"/>
      <c r="AY61" s="13">
        <v>43516</v>
      </c>
      <c r="AZ61" s="78">
        <f t="array" ref="AZ61">INDEX(_xlfn._xlws.FILTER(Table13[],Table13[Days To Maturity]=AZ$3),MATCH($AY61,Table13[Date_d],0),8)</f>
        <v>4.57</v>
      </c>
      <c r="BA61" s="78">
        <f t="array" ref="BA61">INDEX(_xlfn._xlws.FILTER(Table13[],Table13[Days To Maturity]=BA$3),MATCH($AY61,Table13[Date_d],0),8)</f>
        <v>4.76</v>
      </c>
      <c r="BB61" s="78">
        <f t="array" ref="BB61">INDEX(_xlfn._xlws.FILTER(Table13[],Table13[Days To Maturity]=BB$3),MATCH($AY61,Table13[Date_d],0),8)</f>
        <v>8.5500000000000007</v>
      </c>
    </row>
    <row r="62" spans="1:54" x14ac:dyDescent="0.2">
      <c r="A62" s="34">
        <v>43396</v>
      </c>
      <c r="B62" s="35" t="s">
        <v>101</v>
      </c>
      <c r="C62" s="35">
        <v>91</v>
      </c>
      <c r="D62" s="35" t="s">
        <v>20</v>
      </c>
      <c r="E62" s="38">
        <v>3500</v>
      </c>
      <c r="F62" s="38">
        <v>8100</v>
      </c>
      <c r="G62" s="38" t="s">
        <v>54</v>
      </c>
      <c r="H62" s="39" t="s">
        <v>54</v>
      </c>
      <c r="I62" s="39">
        <v>9.48</v>
      </c>
      <c r="J62" s="32">
        <f t="array" ref="J6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43488</v>
      </c>
      <c r="K62" s="59">
        <f>IFERROR(Table13[[#This Row],[Bid Accepted]]*(Table13[[#This Row],[WAYR Current]]%/364*Table13[[#This Row],[Days To Maturity]]),0)</f>
        <v>0</v>
      </c>
      <c r="L62" s="41" t="e">
        <f>+Table13[[#This Row],[Bid Accepted]]-Table13[[#This Row],[Amount Offered]]</f>
        <v>#VALUE!</v>
      </c>
      <c r="M62" s="57" t="e">
        <f>+IF(Table13[[#This Row],[WAYR Last]]&gt;0,IF(Table13[[#This Row],[WAYR Current]]&gt;0,(Table13[[#This Row],[WAYR Current]]-Table13[[#This Row],[WAYR Last]]),""),"")</f>
        <v>#VALUE!</v>
      </c>
      <c r="N62" s="23"/>
      <c r="T62" s="67"/>
      <c r="AH62" s="13">
        <v>43523</v>
      </c>
      <c r="AI62" s="78">
        <v>24000</v>
      </c>
      <c r="AJ62" s="78">
        <v>63381</v>
      </c>
      <c r="AK62" s="78">
        <v>24000</v>
      </c>
      <c r="AL62" s="78">
        <v>39381</v>
      </c>
      <c r="AM62" s="78">
        <v>0</v>
      </c>
      <c r="AN62" s="78">
        <v>10.67</v>
      </c>
      <c r="AO62" s="77">
        <v>0</v>
      </c>
      <c r="AP62" s="77"/>
      <c r="AQ62" s="15"/>
      <c r="AR62" s="13">
        <v>43873</v>
      </c>
      <c r="AS62" s="16">
        <v>3.1041333333333334</v>
      </c>
      <c r="AT62" s="17">
        <v>2.2751428571428574</v>
      </c>
      <c r="AU62" s="17">
        <v>2.4569333333333332</v>
      </c>
      <c r="AV62" s="64">
        <v>2.5783389830508474</v>
      </c>
      <c r="AX62" s="78"/>
      <c r="AY62" s="13">
        <v>43523</v>
      </c>
      <c r="AZ62" s="78">
        <f t="array" ref="AZ62">INDEX(_xlfn._xlws.FILTER(Table13[],Table13[Days To Maturity]=AZ$3),MATCH($AY62,Table13[Date_d],0),8)</f>
        <v>4.6399999999999997</v>
      </c>
      <c r="BA62" s="78">
        <f t="array" ref="BA62">INDEX(_xlfn._xlws.FILTER(Table13[],Table13[Days To Maturity]=BA$3),MATCH($AY62,Table13[Date_d],0),8)</f>
        <v>4.68</v>
      </c>
      <c r="BB62" s="78">
        <f t="array" ref="BB62">INDEX(_xlfn._xlws.FILTER(Table13[],Table13[Days To Maturity]=BB$3),MATCH($AY62,Table13[Date_d],0),8)</f>
        <v>8.4600000000000009</v>
      </c>
    </row>
    <row r="63" spans="1:54" x14ac:dyDescent="0.2">
      <c r="A63" s="9">
        <v>43396</v>
      </c>
      <c r="B63" s="10" t="s">
        <v>102</v>
      </c>
      <c r="C63" s="10">
        <v>182</v>
      </c>
      <c r="D63" s="10" t="s">
        <v>71</v>
      </c>
      <c r="E63" s="18" t="s">
        <v>54</v>
      </c>
      <c r="F63" s="18" t="s">
        <v>54</v>
      </c>
      <c r="G63" s="18" t="s">
        <v>54</v>
      </c>
      <c r="H63" s="37" t="s">
        <v>54</v>
      </c>
      <c r="I63" s="37">
        <v>9.75</v>
      </c>
      <c r="J63" s="32">
        <f t="array" ref="J6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43578</v>
      </c>
      <c r="K63" s="59">
        <f>IFERROR(Table13[[#This Row],[Bid Accepted]]*(Table13[[#This Row],[WAYR Current]]%/364*Table13[[#This Row],[Days To Maturity]]),0)</f>
        <v>0</v>
      </c>
      <c r="L63" s="41" t="e">
        <f>+Table13[[#This Row],[Bid Accepted]]-Table13[[#This Row],[Amount Offered]]</f>
        <v>#VALUE!</v>
      </c>
      <c r="M63" s="57" t="e">
        <f>+IF(Table13[[#This Row],[WAYR Last]]&gt;0,IF(Table13[[#This Row],[WAYR Current]]&gt;0,(Table13[[#This Row],[WAYR Current]]-Table13[[#This Row],[WAYR Last]]),""),"")</f>
        <v>#VALUE!</v>
      </c>
      <c r="N63" s="23"/>
      <c r="T63" s="67"/>
      <c r="AH63" s="13">
        <v>43530</v>
      </c>
      <c r="AI63" s="78">
        <v>24000</v>
      </c>
      <c r="AJ63" s="78">
        <v>74358</v>
      </c>
      <c r="AK63" s="78">
        <v>24000</v>
      </c>
      <c r="AL63" s="78">
        <v>50358</v>
      </c>
      <c r="AM63" s="78">
        <v>0</v>
      </c>
      <c r="AN63" s="78">
        <v>10.64</v>
      </c>
      <c r="AO63" s="77">
        <v>0</v>
      </c>
      <c r="AP63" s="77"/>
      <c r="AQ63" s="15"/>
      <c r="AR63" s="13">
        <v>43879</v>
      </c>
      <c r="AS63" s="16">
        <v>1.759625</v>
      </c>
      <c r="AT63" s="17">
        <v>2.5735999999999999</v>
      </c>
      <c r="AU63" s="17">
        <v>3.1174166666666667</v>
      </c>
      <c r="AV63" s="64">
        <v>2.57416</v>
      </c>
      <c r="AX63" s="78"/>
      <c r="AY63" s="13">
        <v>43530</v>
      </c>
      <c r="AZ63" s="78">
        <f t="array" ref="AZ63">INDEX(_xlfn._xlws.FILTER(Table13[],Table13[Days To Maturity]=AZ$3),MATCH($AY63,Table13[Date_d],0),8)</f>
        <v>4.67</v>
      </c>
      <c r="BA63" s="78">
        <f t="array" ref="BA63">INDEX(_xlfn._xlws.FILTER(Table13[],Table13[Days To Maturity]=BA$3),MATCH($AY63,Table13[Date_d],0),8)</f>
        <v>4.6399999999999997</v>
      </c>
      <c r="BB63" s="78">
        <f t="array" ref="BB63">INDEX(_xlfn._xlws.FILTER(Table13[],Table13[Days To Maturity]=BB$3),MATCH($AY63,Table13[Date_d],0),8)</f>
        <v>7.5</v>
      </c>
    </row>
    <row r="64" spans="1:54" x14ac:dyDescent="0.2">
      <c r="A64" s="9">
        <v>43396</v>
      </c>
      <c r="B64" s="10" t="s">
        <v>103</v>
      </c>
      <c r="C64" s="10">
        <v>364</v>
      </c>
      <c r="D64" s="10" t="s">
        <v>20</v>
      </c>
      <c r="E64" s="18">
        <v>4000</v>
      </c>
      <c r="F64" s="18">
        <v>26193</v>
      </c>
      <c r="G64" s="18">
        <v>7500</v>
      </c>
      <c r="H64" s="37">
        <v>10.39</v>
      </c>
      <c r="I64" s="37">
        <v>10.44</v>
      </c>
      <c r="J64" s="32">
        <f t="array" ref="J6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43761</v>
      </c>
      <c r="K64" s="59">
        <f>IFERROR(Table13[[#This Row],[Bid Accepted]]*(Table13[[#This Row],[WAYR Current]]%/364*Table13[[#This Row],[Days To Maturity]]),0)</f>
        <v>779.25</v>
      </c>
      <c r="L64" s="41">
        <f>+Table13[[#This Row],[Bid Accepted]]-Table13[[#This Row],[Amount Offered]]</f>
        <v>3500</v>
      </c>
      <c r="M64" s="57">
        <f>+IF(Table13[[#This Row],[WAYR Last]]&gt;0,IF(Table13[[#This Row],[WAYR Current]]&gt;0,(Table13[[#This Row],[WAYR Current]]-Table13[[#This Row],[WAYR Last]]),""),"")</f>
        <v>-4.9999999999998934E-2</v>
      </c>
      <c r="N64" s="23"/>
      <c r="T64" s="67"/>
      <c r="AH64" s="13">
        <v>43537</v>
      </c>
      <c r="AI64" s="78">
        <v>24000</v>
      </c>
      <c r="AJ64" s="78">
        <v>62032</v>
      </c>
      <c r="AK64" s="78">
        <v>24000</v>
      </c>
      <c r="AL64" s="78">
        <v>38032</v>
      </c>
      <c r="AM64" s="78">
        <v>0</v>
      </c>
      <c r="AN64" s="78">
        <v>10.58</v>
      </c>
      <c r="AO64" s="77">
        <v>0</v>
      </c>
      <c r="AP64" s="77"/>
      <c r="AQ64" s="15"/>
      <c r="AR64" s="13">
        <v>43887</v>
      </c>
      <c r="AS64" s="16">
        <v>2.6214285714285714</v>
      </c>
      <c r="AT64" s="17">
        <v>2.1648000000000001</v>
      </c>
      <c r="AU64" s="17">
        <v>5.2453599999999998</v>
      </c>
      <c r="AV64" s="64">
        <v>3.7093703703703702</v>
      </c>
      <c r="AX64" s="78"/>
      <c r="AY64" s="13">
        <v>43537</v>
      </c>
      <c r="AZ64" s="78">
        <f t="array" ref="AZ64">INDEX(_xlfn._xlws.FILTER(Table13[],Table13[Days To Maturity]=AZ$3),MATCH($AY64,Table13[Date_d],0),8)</f>
        <v>4.71</v>
      </c>
      <c r="BA64" s="78">
        <f t="array" ref="BA64">INDEX(_xlfn._xlws.FILTER(Table13[],Table13[Days To Maturity]=BA$3),MATCH($AY64,Table13[Date_d],0),8)</f>
        <v>4.7</v>
      </c>
      <c r="BB64" s="78">
        <f t="array" ref="BB64">INDEX(_xlfn._xlws.FILTER(Table13[],Table13[Days To Maturity]=BB$3),MATCH($AY64,Table13[Date_d],0),8)</f>
        <v>7</v>
      </c>
    </row>
    <row r="65" spans="1:54" x14ac:dyDescent="0.2">
      <c r="A65" s="9">
        <v>43404</v>
      </c>
      <c r="B65" s="10" t="s">
        <v>104</v>
      </c>
      <c r="C65" s="10">
        <v>91</v>
      </c>
      <c r="D65" s="10" t="s">
        <v>20</v>
      </c>
      <c r="E65" s="18">
        <v>3000</v>
      </c>
      <c r="F65" s="18">
        <v>4174</v>
      </c>
      <c r="G65" s="18" t="s">
        <v>54</v>
      </c>
      <c r="H65" s="37" t="s">
        <v>54</v>
      </c>
      <c r="I65" s="37" t="s">
        <v>54</v>
      </c>
      <c r="J65" s="32">
        <f t="array" ref="J6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43496</v>
      </c>
      <c r="K65" s="59">
        <f>IFERROR(Table13[[#This Row],[Bid Accepted]]*(Table13[[#This Row],[WAYR Current]]%/364*Table13[[#This Row],[Days To Maturity]]),0)</f>
        <v>0</v>
      </c>
      <c r="L65" s="41" t="e">
        <f>+Table13[[#This Row],[Bid Accepted]]-Table13[[#This Row],[Amount Offered]]</f>
        <v>#VALUE!</v>
      </c>
      <c r="M65" s="57" t="e">
        <f>+IF(Table13[[#This Row],[WAYR Last]]&gt;0,IF(Table13[[#This Row],[WAYR Current]]&gt;0,(Table13[[#This Row],[WAYR Current]]-Table13[[#This Row],[WAYR Last]]),""),"")</f>
        <v>#VALUE!</v>
      </c>
      <c r="N65" s="23"/>
      <c r="T65" s="67"/>
      <c r="AH65" s="13">
        <v>43543</v>
      </c>
      <c r="AI65" s="78">
        <v>24000</v>
      </c>
      <c r="AJ65" s="78">
        <v>66737</v>
      </c>
      <c r="AK65" s="78">
        <v>24000</v>
      </c>
      <c r="AL65" s="78">
        <v>42737</v>
      </c>
      <c r="AM65" s="78">
        <v>0</v>
      </c>
      <c r="AN65" s="78">
        <v>10.52</v>
      </c>
      <c r="AO65" s="77">
        <v>0</v>
      </c>
      <c r="AP65" s="77"/>
      <c r="AQ65" s="15"/>
      <c r="AR65" s="13">
        <v>43894</v>
      </c>
      <c r="AS65" s="16">
        <v>1.846111111111111</v>
      </c>
      <c r="AT65" s="17">
        <v>3.7480000000000002</v>
      </c>
      <c r="AU65" s="17">
        <v>4.0118666666666662</v>
      </c>
      <c r="AV65" s="64">
        <v>3.2942413793103449</v>
      </c>
      <c r="AX65" s="78"/>
      <c r="AY65" s="13">
        <v>43543</v>
      </c>
      <c r="AZ65" s="78">
        <f t="array" ref="AZ65">INDEX(_xlfn._xlws.FILTER(Table13[],Table13[Days To Maturity]=AZ$3),MATCH($AY65,Table13[Date_d],0),8)</f>
        <v>4.6900000000000004</v>
      </c>
      <c r="BA65" s="78">
        <f t="array" ref="BA65">INDEX(_xlfn._xlws.FILTER(Table13[],Table13[Days To Maturity]=BA$3),MATCH($AY65,Table13[Date_d],0),8)</f>
        <v>4.6900000000000004</v>
      </c>
      <c r="BB65" s="78">
        <f t="array" ref="BB65">INDEX(_xlfn._xlws.FILTER(Table13[],Table13[Days To Maturity]=BB$3),MATCH($AY65,Table13[Date_d],0),8)</f>
        <v>7</v>
      </c>
    </row>
    <row r="66" spans="1:54" x14ac:dyDescent="0.2">
      <c r="A66" s="34">
        <v>43404</v>
      </c>
      <c r="B66" s="35" t="s">
        <v>105</v>
      </c>
      <c r="C66" s="35">
        <v>182</v>
      </c>
      <c r="D66" s="35" t="s">
        <v>71</v>
      </c>
      <c r="E66" s="38" t="s">
        <v>54</v>
      </c>
      <c r="F66" s="38" t="s">
        <v>54</v>
      </c>
      <c r="G66" s="38" t="s">
        <v>54</v>
      </c>
      <c r="H66" s="39" t="s">
        <v>54</v>
      </c>
      <c r="I66" s="39" t="s">
        <v>54</v>
      </c>
      <c r="J66" s="32">
        <f t="array" ref="J6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43585</v>
      </c>
      <c r="K66" s="59">
        <f>IFERROR(Table13[[#This Row],[Bid Accepted]]*(Table13[[#This Row],[WAYR Current]]%/364*Table13[[#This Row],[Days To Maturity]]),0)</f>
        <v>0</v>
      </c>
      <c r="L66" s="41" t="e">
        <f>+Table13[[#This Row],[Bid Accepted]]-Table13[[#This Row],[Amount Offered]]</f>
        <v>#VALUE!</v>
      </c>
      <c r="M66" s="57" t="e">
        <f>+IF(Table13[[#This Row],[WAYR Last]]&gt;0,IF(Table13[[#This Row],[WAYR Current]]&gt;0,(Table13[[#This Row],[WAYR Current]]-Table13[[#This Row],[WAYR Last]]),""),"")</f>
        <v>#VALUE!</v>
      </c>
      <c r="N66" s="23"/>
      <c r="T66" s="67"/>
      <c r="AH66" s="13">
        <v>43551</v>
      </c>
      <c r="AI66" s="78">
        <v>25000</v>
      </c>
      <c r="AJ66" s="78">
        <v>86087</v>
      </c>
      <c r="AK66" s="78">
        <v>25000</v>
      </c>
      <c r="AL66" s="78">
        <v>61087</v>
      </c>
      <c r="AM66" s="78">
        <v>0</v>
      </c>
      <c r="AN66" s="78">
        <v>10.4</v>
      </c>
      <c r="AO66" s="77">
        <v>0</v>
      </c>
      <c r="AP66" s="77"/>
      <c r="AQ66" s="15"/>
      <c r="AR66" s="13">
        <v>43901</v>
      </c>
      <c r="AS66" s="16">
        <v>2.2638888888888888</v>
      </c>
      <c r="AT66" s="17">
        <v>2.863142857142857</v>
      </c>
      <c r="AU66" s="17">
        <v>2.7673125000000001</v>
      </c>
      <c r="AV66" s="64">
        <v>2.6466875000000001</v>
      </c>
      <c r="AX66" s="78"/>
      <c r="AY66" s="13">
        <v>43551</v>
      </c>
      <c r="AZ66" s="78">
        <f t="array" ref="AZ66">INDEX(_xlfn._xlws.FILTER(Table13[],Table13[Days To Maturity]=AZ$3),MATCH($AY66,Table13[Date_d],0),8)</f>
        <v>4.72</v>
      </c>
      <c r="BA66" s="78">
        <f t="array" ref="BA66">INDEX(_xlfn._xlws.FILTER(Table13[],Table13[Days To Maturity]=BA$3),MATCH($AY66,Table13[Date_d],0),8)</f>
        <v>4.7300000000000004</v>
      </c>
      <c r="BB66" s="78">
        <f t="array" ref="BB66">INDEX(_xlfn._xlws.FILTER(Table13[],Table13[Days To Maturity]=BB$3),MATCH($AY66,Table13[Date_d],0),8)</f>
        <v>6.93</v>
      </c>
    </row>
    <row r="67" spans="1:54" x14ac:dyDescent="0.2">
      <c r="A67" s="34">
        <v>43404</v>
      </c>
      <c r="B67" s="35" t="s">
        <v>106</v>
      </c>
      <c r="C67" s="35">
        <v>364</v>
      </c>
      <c r="D67" s="35" t="s">
        <v>20</v>
      </c>
      <c r="E67" s="38">
        <v>10000</v>
      </c>
      <c r="F67" s="38">
        <v>19660</v>
      </c>
      <c r="G67" s="38" t="s">
        <v>54</v>
      </c>
      <c r="H67" s="39" t="s">
        <v>54</v>
      </c>
      <c r="I67" s="39">
        <v>10.39</v>
      </c>
      <c r="J67" s="32">
        <f t="array" ref="J6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43769</v>
      </c>
      <c r="K67" s="59">
        <f>IFERROR(Table13[[#This Row],[Bid Accepted]]*(Table13[[#This Row],[WAYR Current]]%/364*Table13[[#This Row],[Days To Maturity]]),0)</f>
        <v>0</v>
      </c>
      <c r="L67" s="41" t="e">
        <f>+Table13[[#This Row],[Bid Accepted]]-Table13[[#This Row],[Amount Offered]]</f>
        <v>#VALUE!</v>
      </c>
      <c r="M67" s="57" t="e">
        <f>+IF(Table13[[#This Row],[WAYR Last]]&gt;0,IF(Table13[[#This Row],[WAYR Current]]&gt;0,(Table13[[#This Row],[WAYR Current]]-Table13[[#This Row],[WAYR Last]]),""),"")</f>
        <v>#VALUE!</v>
      </c>
      <c r="N67" s="23"/>
      <c r="T67" s="67"/>
      <c r="AC67" s="31"/>
      <c r="AD67" s="31"/>
      <c r="AE67" s="31"/>
      <c r="AF67" s="31"/>
      <c r="AH67" s="13">
        <v>43558</v>
      </c>
      <c r="AI67" s="78">
        <v>28000</v>
      </c>
      <c r="AJ67" s="78">
        <v>106307</v>
      </c>
      <c r="AK67" s="78">
        <v>28000</v>
      </c>
      <c r="AL67" s="78">
        <v>78307</v>
      </c>
      <c r="AM67" s="78">
        <v>0</v>
      </c>
      <c r="AN67" s="78">
        <v>10.15</v>
      </c>
      <c r="AO67" s="77">
        <v>0</v>
      </c>
      <c r="AP67" s="77"/>
      <c r="AQ67" s="15"/>
      <c r="AR67" s="13">
        <v>43908</v>
      </c>
      <c r="AS67" s="16">
        <v>2.4350000000000001</v>
      </c>
      <c r="AT67" s="17">
        <v>3.2785714285714285</v>
      </c>
      <c r="AU67" s="17">
        <v>3.3229166666666665</v>
      </c>
      <c r="AV67" s="64">
        <v>3.0060344827586207</v>
      </c>
      <c r="AX67" s="78"/>
      <c r="AY67" s="13">
        <v>43558</v>
      </c>
      <c r="AZ67" s="78">
        <f t="array" ref="AZ67">INDEX(_xlfn._xlws.FILTER(Table13[],Table13[Days To Maturity]=AZ$3),MATCH($AY67,Table13[Date_d],0),8)</f>
        <v>4.95</v>
      </c>
      <c r="BA67" s="78">
        <f t="array" ref="BA67">INDEX(_xlfn._xlws.FILTER(Table13[],Table13[Days To Maturity]=BA$3),MATCH($AY67,Table13[Date_d],0),8)</f>
        <v>4.7699999999999996</v>
      </c>
      <c r="BB67" s="78">
        <f t="array" ref="BB67">INDEX(_xlfn._xlws.FILTER(Table13[],Table13[Days To Maturity]=BB$3),MATCH($AY67,Table13[Date_d],0),8)</f>
        <v>6.62</v>
      </c>
    </row>
    <row r="68" spans="1:54" x14ac:dyDescent="0.2">
      <c r="A68" s="34">
        <v>43411</v>
      </c>
      <c r="B68" s="35" t="s">
        <v>107</v>
      </c>
      <c r="C68" s="35">
        <v>91</v>
      </c>
      <c r="D68" s="35" t="s">
        <v>20</v>
      </c>
      <c r="E68" s="38">
        <v>2000</v>
      </c>
      <c r="F68" s="38">
        <v>4196</v>
      </c>
      <c r="G68" s="38">
        <v>3296</v>
      </c>
      <c r="H68" s="39">
        <v>9.65</v>
      </c>
      <c r="I68" s="39" t="s">
        <v>54</v>
      </c>
      <c r="J68" s="32">
        <f t="array" ref="J6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43503</v>
      </c>
      <c r="K68" s="59">
        <f>IFERROR(Table13[[#This Row],[Bid Accepted]]*(Table13[[#This Row],[WAYR Current]]%/364*Table13[[#This Row],[Days To Maturity]]),0)</f>
        <v>79.516000000000005</v>
      </c>
      <c r="L68" s="41">
        <f>+Table13[[#This Row],[Bid Accepted]]-Table13[[#This Row],[Amount Offered]]</f>
        <v>1296</v>
      </c>
      <c r="M68" s="57" t="e">
        <f>+IF(Table13[[#This Row],[WAYR Last]]&gt;0,IF(Table13[[#This Row],[WAYR Current]]&gt;0,(Table13[[#This Row],[WAYR Current]]-Table13[[#This Row],[WAYR Last]]),""),"")</f>
        <v>#VALUE!</v>
      </c>
      <c r="N68" s="23"/>
      <c r="T68" s="67"/>
      <c r="AH68" s="13">
        <v>43565</v>
      </c>
      <c r="AI68" s="78">
        <v>25000</v>
      </c>
      <c r="AJ68" s="78">
        <v>78427</v>
      </c>
      <c r="AK68" s="78">
        <v>25000</v>
      </c>
      <c r="AL68" s="78">
        <v>53427</v>
      </c>
      <c r="AM68" s="78">
        <v>0</v>
      </c>
      <c r="AN68" s="78">
        <v>9.99</v>
      </c>
      <c r="AO68" s="77">
        <v>0</v>
      </c>
      <c r="AP68" s="77"/>
      <c r="AQ68" s="15"/>
      <c r="AR68" s="13">
        <v>43915</v>
      </c>
      <c r="AS68" s="16">
        <v>1.9470000000000001</v>
      </c>
      <c r="AT68" s="17">
        <v>2.1375000000000002</v>
      </c>
      <c r="AU68" s="17">
        <v>2.665</v>
      </c>
      <c r="AV68" s="64">
        <v>2.3328666666666669</v>
      </c>
      <c r="AX68" s="78"/>
      <c r="AY68" s="13">
        <v>43565</v>
      </c>
      <c r="AZ68" s="78">
        <f t="array" ref="AZ68">INDEX(_xlfn._xlws.FILTER(Table13[],Table13[Days To Maturity]=AZ$3),MATCH($AY68,Table13[Date_d],0),8)</f>
        <v>5.04</v>
      </c>
      <c r="BA68" s="78">
        <f t="array" ref="BA68">INDEX(_xlfn._xlws.FILTER(Table13[],Table13[Days To Maturity]=BA$3),MATCH($AY68,Table13[Date_d],0),8)</f>
        <v>4.8</v>
      </c>
      <c r="BB68" s="78">
        <f t="array" ref="BB68">INDEX(_xlfn._xlws.FILTER(Table13[],Table13[Days To Maturity]=BB$3),MATCH($AY68,Table13[Date_d],0),8)</f>
        <v>5.32</v>
      </c>
    </row>
    <row r="69" spans="1:54" x14ac:dyDescent="0.2">
      <c r="A69" s="9">
        <v>43411</v>
      </c>
      <c r="B69" s="10" t="s">
        <v>108</v>
      </c>
      <c r="C69" s="10">
        <v>182</v>
      </c>
      <c r="D69" s="10" t="s">
        <v>20</v>
      </c>
      <c r="E69" s="18">
        <v>2000</v>
      </c>
      <c r="F69" s="18">
        <v>2450</v>
      </c>
      <c r="G69" s="18">
        <v>500</v>
      </c>
      <c r="H69" s="37">
        <v>9.99</v>
      </c>
      <c r="I69" s="37" t="s">
        <v>54</v>
      </c>
      <c r="J69" s="32">
        <f t="array" ref="J6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43592</v>
      </c>
      <c r="K69" s="59">
        <f>IFERROR(Table13[[#This Row],[Bid Accepted]]*(Table13[[#This Row],[WAYR Current]]%/364*Table13[[#This Row],[Days To Maturity]]),0)</f>
        <v>24.974999999999998</v>
      </c>
      <c r="L69" s="41">
        <f>+Table13[[#This Row],[Bid Accepted]]-Table13[[#This Row],[Amount Offered]]</f>
        <v>-1500</v>
      </c>
      <c r="M69" s="57" t="e">
        <f>+IF(Table13[[#This Row],[WAYR Last]]&gt;0,IF(Table13[[#This Row],[WAYR Current]]&gt;0,(Table13[[#This Row],[WAYR Current]]-Table13[[#This Row],[WAYR Last]]),""),"")</f>
        <v>#VALUE!</v>
      </c>
      <c r="N69" s="23"/>
      <c r="T69" s="67"/>
      <c r="AH69" s="13">
        <v>43571</v>
      </c>
      <c r="AI69" s="78">
        <v>24000</v>
      </c>
      <c r="AJ69" s="78">
        <v>75957</v>
      </c>
      <c r="AK69" s="78">
        <v>24000</v>
      </c>
      <c r="AL69" s="78">
        <v>51957</v>
      </c>
      <c r="AM69" s="78">
        <v>0</v>
      </c>
      <c r="AN69" s="78">
        <v>9.91</v>
      </c>
      <c r="AO69" s="77">
        <v>0</v>
      </c>
      <c r="AP69" s="77"/>
      <c r="AQ69" s="15"/>
      <c r="AR69" s="13">
        <v>43922</v>
      </c>
      <c r="AS69" s="16">
        <v>2.1046666666666667</v>
      </c>
      <c r="AT69" s="17">
        <v>2.1</v>
      </c>
      <c r="AU69" s="17">
        <v>1.5214285714285714</v>
      </c>
      <c r="AV69" s="64">
        <v>1.8309333333333333</v>
      </c>
      <c r="AX69" s="78"/>
      <c r="AY69" s="13">
        <v>43571</v>
      </c>
      <c r="AZ69" s="78">
        <f t="array" ref="AZ69">INDEX(_xlfn._xlws.FILTER(Table13[],Table13[Days To Maturity]=AZ$3),MATCH($AY69,Table13[Date_d],0),8)</f>
        <v>5.09</v>
      </c>
      <c r="BA69" s="78">
        <f t="array" ref="BA69">INDEX(_xlfn._xlws.FILTER(Table13[],Table13[Days To Maturity]=BA$3),MATCH($AY69,Table13[Date_d],0),8)</f>
        <v>4.7699999999999996</v>
      </c>
      <c r="BB69" s="78">
        <f t="array" ref="BB69">INDEX(_xlfn._xlws.FILTER(Table13[],Table13[Days To Maturity]=BB$3),MATCH($AY69,Table13[Date_d],0),8)</f>
        <v>4.8600000000000003</v>
      </c>
    </row>
    <row r="70" spans="1:54" x14ac:dyDescent="0.2">
      <c r="A70" s="9">
        <v>43411</v>
      </c>
      <c r="B70" s="10" t="s">
        <v>109</v>
      </c>
      <c r="C70" s="10">
        <v>364</v>
      </c>
      <c r="D70" s="10" t="s">
        <v>20</v>
      </c>
      <c r="E70" s="18">
        <v>12000</v>
      </c>
      <c r="F70" s="18">
        <v>19920</v>
      </c>
      <c r="G70" s="18">
        <v>11570</v>
      </c>
      <c r="H70" s="37">
        <v>10.89</v>
      </c>
      <c r="I70" s="37" t="s">
        <v>54</v>
      </c>
      <c r="J70" s="32">
        <f t="array" ref="J7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43776</v>
      </c>
      <c r="K70" s="59">
        <f>IFERROR(Table13[[#This Row],[Bid Accepted]]*(Table13[[#This Row],[WAYR Current]]%/364*Table13[[#This Row],[Days To Maturity]]),0)</f>
        <v>1259.9730000000002</v>
      </c>
      <c r="L70" s="41">
        <f>+Table13[[#This Row],[Bid Accepted]]-Table13[[#This Row],[Amount Offered]]</f>
        <v>-430</v>
      </c>
      <c r="M70" s="57" t="e">
        <f>+IF(Table13[[#This Row],[WAYR Last]]&gt;0,IF(Table13[[#This Row],[WAYR Current]]&gt;0,(Table13[[#This Row],[WAYR Current]]-Table13[[#This Row],[WAYR Last]]),""),"")</f>
        <v>#VALUE!</v>
      </c>
      <c r="N70" s="23"/>
      <c r="T70" s="67"/>
      <c r="AH70" s="13">
        <v>43579</v>
      </c>
      <c r="AI70" s="78">
        <v>25000</v>
      </c>
      <c r="AJ70" s="78">
        <v>64182</v>
      </c>
      <c r="AK70" s="78">
        <v>25000</v>
      </c>
      <c r="AL70" s="78">
        <v>39182</v>
      </c>
      <c r="AM70" s="78">
        <v>0</v>
      </c>
      <c r="AN70" s="78">
        <v>9.91</v>
      </c>
      <c r="AO70" s="77">
        <v>0</v>
      </c>
      <c r="AP70" s="77"/>
      <c r="AQ70" s="15"/>
      <c r="AR70" s="13">
        <v>43927</v>
      </c>
      <c r="AS70" s="16">
        <v>2.7482857142857142</v>
      </c>
      <c r="AT70" s="17">
        <v>1.7777777777777777</v>
      </c>
      <c r="AU70" s="17">
        <v>1.3178571428571428</v>
      </c>
      <c r="AV70" s="64">
        <v>1.7896000000000001</v>
      </c>
      <c r="AX70" s="78"/>
      <c r="AY70" s="13">
        <v>43579</v>
      </c>
      <c r="AZ70" s="78">
        <f t="array" ref="AZ70">INDEX(_xlfn._xlws.FILTER(Table13[],Table13[Days To Maturity]=AZ$3),MATCH($AY70,Table13[Date_d],0),8)</f>
        <v>5.12</v>
      </c>
      <c r="BA70" s="78">
        <f t="array" ref="BA70">INDEX(_xlfn._xlws.FILTER(Table13[],Table13[Days To Maturity]=BA$3),MATCH($AY70,Table13[Date_d],0),8)</f>
        <v>5.17</v>
      </c>
      <c r="BB70" s="78">
        <f t="array" ref="BB70">INDEX(_xlfn._xlws.FILTER(Table13[],Table13[Days To Maturity]=BB$3),MATCH($AY70,Table13[Date_d],0),8)</f>
        <v>4.9000000000000004</v>
      </c>
    </row>
    <row r="71" spans="1:54" x14ac:dyDescent="0.2">
      <c r="A71" s="9">
        <v>43418</v>
      </c>
      <c r="B71" s="10" t="s">
        <v>110</v>
      </c>
      <c r="C71" s="10">
        <v>91</v>
      </c>
      <c r="D71" s="10" t="s">
        <v>20</v>
      </c>
      <c r="E71" s="18">
        <v>3000</v>
      </c>
      <c r="F71" s="18">
        <v>10050</v>
      </c>
      <c r="G71" s="18">
        <v>2100</v>
      </c>
      <c r="H71" s="37">
        <v>10.07</v>
      </c>
      <c r="I71" s="37">
        <v>9.65</v>
      </c>
      <c r="J71" s="32">
        <f t="array" ref="J7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43510</v>
      </c>
      <c r="K71" s="59">
        <f>IFERROR(Table13[[#This Row],[Bid Accepted]]*(Table13[[#This Row],[WAYR Current]]%/364*Table13[[#This Row],[Days To Maturity]]),0)</f>
        <v>52.8675</v>
      </c>
      <c r="L71" s="41">
        <f>+Table13[[#This Row],[Bid Accepted]]-Table13[[#This Row],[Amount Offered]]</f>
        <v>-900</v>
      </c>
      <c r="M71" s="57">
        <f>+IF(Table13[[#This Row],[WAYR Last]]&gt;0,IF(Table13[[#This Row],[WAYR Current]]&gt;0,(Table13[[#This Row],[WAYR Current]]-Table13[[#This Row],[WAYR Last]]),""),"")</f>
        <v>0.41999999999999993</v>
      </c>
      <c r="N71" s="5"/>
      <c r="T71" s="67"/>
      <c r="AH71" s="13">
        <v>43585</v>
      </c>
      <c r="AI71" s="78">
        <v>27000</v>
      </c>
      <c r="AJ71" s="78">
        <v>87374</v>
      </c>
      <c r="AK71" s="78">
        <v>27000</v>
      </c>
      <c r="AL71" s="78">
        <v>60374</v>
      </c>
      <c r="AM71" s="78">
        <v>0</v>
      </c>
      <c r="AN71" s="78">
        <v>9.81</v>
      </c>
      <c r="AO71" s="77">
        <v>0</v>
      </c>
      <c r="AP71" s="77"/>
      <c r="AQ71" s="15"/>
      <c r="AR71" s="13">
        <v>43936</v>
      </c>
      <c r="AS71" s="16">
        <v>1.3571428571428572</v>
      </c>
      <c r="AT71" s="17">
        <v>1.2865</v>
      </c>
      <c r="AU71" s="17">
        <v>1.3038461538461539</v>
      </c>
      <c r="AV71" s="64">
        <v>1.3105</v>
      </c>
      <c r="AX71" s="78"/>
      <c r="AY71" s="13">
        <v>43585</v>
      </c>
      <c r="AZ71" s="78">
        <f t="array" ref="AZ71">INDEX(_xlfn._xlws.FILTER(Table13[],Table13[Days To Maturity]=AZ$3),MATCH($AY71,Table13[Date_d],0),8)</f>
        <v>5.13</v>
      </c>
      <c r="BA71" s="78">
        <f t="array" ref="BA71">INDEX(_xlfn._xlws.FILTER(Table13[],Table13[Days To Maturity]=BA$3),MATCH($AY71,Table13[Date_d],0),8)</f>
        <v>4.99</v>
      </c>
      <c r="BB71" s="78">
        <f t="array" ref="BB71">INDEX(_xlfn._xlws.FILTER(Table13[],Table13[Days To Maturity]=BB$3),MATCH($AY71,Table13[Date_d],0),8)</f>
        <v>4.88</v>
      </c>
    </row>
    <row r="72" spans="1:54" x14ac:dyDescent="0.2">
      <c r="A72" s="34">
        <v>43418</v>
      </c>
      <c r="B72" s="35" t="s">
        <v>111</v>
      </c>
      <c r="C72" s="35">
        <v>182</v>
      </c>
      <c r="D72" s="35" t="s">
        <v>20</v>
      </c>
      <c r="E72" s="38">
        <v>2000</v>
      </c>
      <c r="F72" s="38">
        <v>2788</v>
      </c>
      <c r="G72" s="38" t="s">
        <v>54</v>
      </c>
      <c r="H72" s="39" t="s">
        <v>54</v>
      </c>
      <c r="I72" s="39">
        <v>9.99</v>
      </c>
      <c r="J72" s="32">
        <f t="array" ref="J7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43599</v>
      </c>
      <c r="K72" s="59">
        <f>IFERROR(Table13[[#This Row],[Bid Accepted]]*(Table13[[#This Row],[WAYR Current]]%/364*Table13[[#This Row],[Days To Maturity]]),0)</f>
        <v>0</v>
      </c>
      <c r="L72" s="41" t="e">
        <f>+Table13[[#This Row],[Bid Accepted]]-Table13[[#This Row],[Amount Offered]]</f>
        <v>#VALUE!</v>
      </c>
      <c r="M72" s="57" t="e">
        <f>+IF(Table13[[#This Row],[WAYR Last]]&gt;0,IF(Table13[[#This Row],[WAYR Current]]&gt;0,(Table13[[#This Row],[WAYR Current]]-Table13[[#This Row],[WAYR Last]]),""),"")</f>
        <v>#VALUE!</v>
      </c>
      <c r="N72" s="5"/>
      <c r="T72" s="67"/>
      <c r="AH72" s="13">
        <v>43593</v>
      </c>
      <c r="AI72" s="78">
        <v>22000</v>
      </c>
      <c r="AJ72" s="78">
        <v>109093</v>
      </c>
      <c r="AK72" s="78">
        <v>22000</v>
      </c>
      <c r="AL72" s="78">
        <v>87093</v>
      </c>
      <c r="AM72" s="78">
        <v>0</v>
      </c>
      <c r="AN72" s="78">
        <v>9.44</v>
      </c>
      <c r="AO72" s="77">
        <v>0</v>
      </c>
      <c r="AP72" s="77"/>
      <c r="AQ72" s="15"/>
      <c r="AR72" s="13">
        <v>43943</v>
      </c>
      <c r="AS72" s="16">
        <v>2.4858333333333333</v>
      </c>
      <c r="AT72" s="17">
        <v>2.3515000000000001</v>
      </c>
      <c r="AU72" s="17">
        <v>1.2809444444444444</v>
      </c>
      <c r="AV72" s="64">
        <v>1.7360333333333333</v>
      </c>
      <c r="AX72" s="78"/>
      <c r="AY72" s="13">
        <v>43593</v>
      </c>
      <c r="AZ72" s="78">
        <f t="array" ref="AZ72">INDEX(_xlfn._xlws.FILTER(Table13[],Table13[Days To Maturity]=AZ$3),MATCH($AY72,Table13[Date_d],0),8)</f>
        <v>5.17</v>
      </c>
      <c r="BA72" s="78">
        <f t="array" ref="BA72">INDEX(_xlfn._xlws.FILTER(Table13[],Table13[Days To Maturity]=BA$3),MATCH($AY72,Table13[Date_d],0),8)</f>
        <v>5.07</v>
      </c>
      <c r="BB72" s="78">
        <f t="array" ref="BB72">INDEX(_xlfn._xlws.FILTER(Table13[],Table13[Days To Maturity]=BB$3),MATCH($AY72,Table13[Date_d],0),8)</f>
        <v>4.8899999999999997</v>
      </c>
    </row>
    <row r="73" spans="1:54" x14ac:dyDescent="0.2">
      <c r="A73" s="34">
        <v>43418</v>
      </c>
      <c r="B73" s="35" t="s">
        <v>112</v>
      </c>
      <c r="C73" s="35">
        <v>364</v>
      </c>
      <c r="D73" s="35" t="s">
        <v>20</v>
      </c>
      <c r="E73" s="38">
        <v>9000</v>
      </c>
      <c r="F73" s="38">
        <v>25555</v>
      </c>
      <c r="G73" s="38">
        <v>7756</v>
      </c>
      <c r="H73" s="39">
        <v>11.25</v>
      </c>
      <c r="I73" s="39">
        <v>10.89</v>
      </c>
      <c r="J73" s="32">
        <f t="array" ref="J7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43783</v>
      </c>
      <c r="K73" s="59">
        <f>IFERROR(Table13[[#This Row],[Bid Accepted]]*(Table13[[#This Row],[WAYR Current]]%/364*Table13[[#This Row],[Days To Maturity]]),0)</f>
        <v>872.55</v>
      </c>
      <c r="L73" s="41">
        <f>+Table13[[#This Row],[Bid Accepted]]-Table13[[#This Row],[Amount Offered]]</f>
        <v>-1244</v>
      </c>
      <c r="M73" s="57">
        <f>+IF(Table13[[#This Row],[WAYR Last]]&gt;0,IF(Table13[[#This Row],[WAYR Current]]&gt;0,(Table13[[#This Row],[WAYR Current]]-Table13[[#This Row],[WAYR Last]]),""),"")</f>
        <v>0.35999999999999943</v>
      </c>
      <c r="N73" s="5"/>
      <c r="P73" s="67"/>
      <c r="Q73" s="67"/>
      <c r="T73" s="67"/>
      <c r="AH73" s="13">
        <v>43600</v>
      </c>
      <c r="AI73" s="78">
        <v>21000</v>
      </c>
      <c r="AJ73" s="78">
        <v>81525</v>
      </c>
      <c r="AK73" s="78">
        <v>21000</v>
      </c>
      <c r="AL73" s="78">
        <v>60525</v>
      </c>
      <c r="AM73" s="78">
        <v>0</v>
      </c>
      <c r="AN73" s="78">
        <v>9.18</v>
      </c>
      <c r="AO73" s="77">
        <v>0</v>
      </c>
      <c r="AP73" s="77"/>
      <c r="AQ73" s="15"/>
      <c r="AR73" s="13">
        <v>43949</v>
      </c>
      <c r="AS73" s="16">
        <v>2.9220000000000002</v>
      </c>
      <c r="AT73" s="17">
        <v>1.8484</v>
      </c>
      <c r="AU73" s="17">
        <v>1.3833333333333333</v>
      </c>
      <c r="AV73" s="64">
        <v>1.8842666666666668</v>
      </c>
      <c r="AX73" s="78"/>
      <c r="AY73" s="13">
        <v>43600</v>
      </c>
      <c r="AZ73" s="78">
        <f t="array" ref="AZ73">INDEX(_xlfn._xlws.FILTER(Table13[],Table13[Days To Maturity]=AZ$3),MATCH($AY73,Table13[Date_d],0),8)</f>
        <v>5.21</v>
      </c>
      <c r="BA73" s="78">
        <f t="array" ref="BA73">INDEX(_xlfn._xlws.FILTER(Table13[],Table13[Days To Maturity]=BA$3),MATCH($AY73,Table13[Date_d],0),8)</f>
        <v>5.12</v>
      </c>
      <c r="BB73" s="78">
        <f t="array" ref="BB73">INDEX(_xlfn._xlws.FILTER(Table13[],Table13[Days To Maturity]=BB$3),MATCH($AY73,Table13[Date_d],0),8)</f>
        <v>4.13</v>
      </c>
    </row>
    <row r="74" spans="1:54" x14ac:dyDescent="0.2">
      <c r="A74" s="34">
        <v>43423</v>
      </c>
      <c r="B74" s="35" t="s">
        <v>113</v>
      </c>
      <c r="C74" s="35">
        <v>91</v>
      </c>
      <c r="D74" s="35" t="s">
        <v>20</v>
      </c>
      <c r="E74" s="38">
        <v>3000</v>
      </c>
      <c r="F74" s="38">
        <v>8030</v>
      </c>
      <c r="G74" s="38">
        <v>4500</v>
      </c>
      <c r="H74" s="39">
        <v>10.01</v>
      </c>
      <c r="I74" s="39">
        <v>10.07</v>
      </c>
      <c r="J74" s="32">
        <f t="array" ref="J7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43515</v>
      </c>
      <c r="K74" s="59">
        <f>IFERROR(Table13[[#This Row],[Bid Accepted]]*(Table13[[#This Row],[WAYR Current]]%/364*Table13[[#This Row],[Days To Maturity]]),0)</f>
        <v>112.61249999999998</v>
      </c>
      <c r="L74" s="41">
        <f>+Table13[[#This Row],[Bid Accepted]]-Table13[[#This Row],[Amount Offered]]</f>
        <v>1500</v>
      </c>
      <c r="M74" s="57">
        <f>+IF(Table13[[#This Row],[WAYR Last]]&gt;0,IF(Table13[[#This Row],[WAYR Current]]&gt;0,(Table13[[#This Row],[WAYR Current]]-Table13[[#This Row],[WAYR Last]]),""),"")</f>
        <v>-6.0000000000000497E-2</v>
      </c>
      <c r="N74" s="5"/>
      <c r="P74" s="67"/>
      <c r="Q74" s="67"/>
      <c r="T74" s="67"/>
      <c r="AH74" s="13">
        <v>43607</v>
      </c>
      <c r="AI74" s="78">
        <v>20000</v>
      </c>
      <c r="AJ74" s="78">
        <v>81087</v>
      </c>
      <c r="AK74" s="78">
        <v>20000</v>
      </c>
      <c r="AL74" s="78">
        <v>61087</v>
      </c>
      <c r="AM74" s="78">
        <v>0</v>
      </c>
      <c r="AN74" s="78">
        <v>8.9</v>
      </c>
      <c r="AO74" s="77">
        <v>0</v>
      </c>
      <c r="AP74" s="77"/>
      <c r="AQ74" s="15"/>
      <c r="AR74" s="13">
        <v>43955</v>
      </c>
      <c r="AS74" s="16">
        <v>2.0656249999999998</v>
      </c>
      <c r="AT74" s="17">
        <v>1.7166666666666666</v>
      </c>
      <c r="AU74" s="17">
        <v>1.119375</v>
      </c>
      <c r="AV74" s="64">
        <v>1.4911666666666668</v>
      </c>
      <c r="AX74" s="78"/>
      <c r="AY74" s="13">
        <v>43607</v>
      </c>
      <c r="AZ74" s="78">
        <f t="array" ref="AZ74">INDEX(_xlfn._xlws.FILTER(Table13[],Table13[Days To Maturity]=AZ$3),MATCH($AY74,Table13[Date_d],0),8)</f>
        <v>5.22</v>
      </c>
      <c r="BA74" s="78">
        <f t="array" ref="BA74">INDEX(_xlfn._xlws.FILTER(Table13[],Table13[Days To Maturity]=BA$3),MATCH($AY74,Table13[Date_d],0),8)</f>
        <v>5.14</v>
      </c>
      <c r="BB74" s="78">
        <f t="array" ref="BB74">INDEX(_xlfn._xlws.FILTER(Table13[],Table13[Days To Maturity]=BB$3),MATCH($AY74,Table13[Date_d],0),8)</f>
        <v>4.97</v>
      </c>
    </row>
    <row r="75" spans="1:54" x14ac:dyDescent="0.2">
      <c r="A75" s="9">
        <v>43423</v>
      </c>
      <c r="B75" s="10" t="s">
        <v>114</v>
      </c>
      <c r="C75" s="10">
        <v>182</v>
      </c>
      <c r="D75" s="10" t="s">
        <v>20</v>
      </c>
      <c r="E75" s="18">
        <v>3500</v>
      </c>
      <c r="F75" s="18">
        <v>10189</v>
      </c>
      <c r="G75" s="18" t="s">
        <v>54</v>
      </c>
      <c r="H75" s="37" t="s">
        <v>54</v>
      </c>
      <c r="I75" s="37" t="s">
        <v>54</v>
      </c>
      <c r="J75" s="32">
        <f t="array" ref="J7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43604</v>
      </c>
      <c r="K75" s="59">
        <f>IFERROR(Table13[[#This Row],[Bid Accepted]]*(Table13[[#This Row],[WAYR Current]]%/364*Table13[[#This Row],[Days To Maturity]]),0)</f>
        <v>0</v>
      </c>
      <c r="L75" s="41" t="e">
        <f>+Table13[[#This Row],[Bid Accepted]]-Table13[[#This Row],[Amount Offered]]</f>
        <v>#VALUE!</v>
      </c>
      <c r="M75" s="57" t="e">
        <f>+IF(Table13[[#This Row],[WAYR Last]]&gt;0,IF(Table13[[#This Row],[WAYR Current]]&gt;0,(Table13[[#This Row],[WAYR Current]]-Table13[[#This Row],[WAYR Last]]),""),"")</f>
        <v>#VALUE!</v>
      </c>
      <c r="N75" s="5"/>
      <c r="P75" s="67"/>
      <c r="Q75" s="67"/>
      <c r="R75" s="67"/>
      <c r="T75" s="67"/>
      <c r="AH75" s="13">
        <v>43614</v>
      </c>
      <c r="AI75" s="78">
        <v>20000</v>
      </c>
      <c r="AJ75" s="78">
        <v>49129</v>
      </c>
      <c r="AK75" s="78">
        <v>20000</v>
      </c>
      <c r="AL75" s="78">
        <v>29129</v>
      </c>
      <c r="AM75" s="78">
        <v>0</v>
      </c>
      <c r="AN75" s="78">
        <v>8.8800000000000008</v>
      </c>
      <c r="AO75" s="77">
        <v>0</v>
      </c>
      <c r="AP75" s="77"/>
      <c r="AQ75" s="15"/>
      <c r="AR75" s="13">
        <v>43964</v>
      </c>
      <c r="AS75" s="16">
        <v>2.9342857142857142</v>
      </c>
      <c r="AT75" s="17">
        <v>1.3611111111111112</v>
      </c>
      <c r="AU75" s="17">
        <v>1.4728571428571429</v>
      </c>
      <c r="AV75" s="64">
        <v>1.7803333333333333</v>
      </c>
      <c r="AX75" s="78"/>
      <c r="AY75" s="13">
        <v>43614</v>
      </c>
      <c r="AZ75" s="78">
        <f t="array" ref="AZ75">INDEX(_xlfn._xlws.FILTER(Table13[],Table13[Days To Maturity]=AZ$3),MATCH($AY75,Table13[Date_d],0),8)</f>
        <v>5.33</v>
      </c>
      <c r="BA75" s="78">
        <f t="array" ref="BA75">INDEX(_xlfn._xlws.FILTER(Table13[],Table13[Days To Maturity]=BA$3),MATCH($AY75,Table13[Date_d],0),8)</f>
        <v>5.14</v>
      </c>
      <c r="BB75" s="78">
        <f t="array" ref="BB75">INDEX(_xlfn._xlws.FILTER(Table13[],Table13[Days To Maturity]=BB$3),MATCH($AY75,Table13[Date_d],0),8)</f>
        <v>5</v>
      </c>
    </row>
    <row r="76" spans="1:54" x14ac:dyDescent="0.2">
      <c r="A76" s="9">
        <v>43423</v>
      </c>
      <c r="B76" s="10" t="s">
        <v>115</v>
      </c>
      <c r="C76" s="10">
        <v>364</v>
      </c>
      <c r="D76" s="10" t="s">
        <v>20</v>
      </c>
      <c r="E76" s="18">
        <v>9000</v>
      </c>
      <c r="F76" s="18">
        <v>30307</v>
      </c>
      <c r="G76" s="18">
        <v>11000</v>
      </c>
      <c r="H76" s="37">
        <v>11.21</v>
      </c>
      <c r="I76" s="37">
        <v>11.25</v>
      </c>
      <c r="J76" s="32">
        <f t="array" ref="J7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43788</v>
      </c>
      <c r="K76" s="59">
        <f>IFERROR(Table13[[#This Row],[Bid Accepted]]*(Table13[[#This Row],[WAYR Current]]%/364*Table13[[#This Row],[Days To Maturity]]),0)</f>
        <v>1233.1000000000001</v>
      </c>
      <c r="L76" s="41">
        <f>+Table13[[#This Row],[Bid Accepted]]-Table13[[#This Row],[Amount Offered]]</f>
        <v>2000</v>
      </c>
      <c r="M76" s="57">
        <f>+IF(Table13[[#This Row],[WAYR Last]]&gt;0,IF(Table13[[#This Row],[WAYR Current]]&gt;0,(Table13[[#This Row],[WAYR Current]]-Table13[[#This Row],[WAYR Last]]),""),"")</f>
        <v>-3.9999999999999147E-2</v>
      </c>
      <c r="N76" s="5"/>
      <c r="P76" s="67"/>
      <c r="Q76" s="67"/>
      <c r="R76" s="67"/>
      <c r="T76" s="67"/>
      <c r="AH76" s="13">
        <v>43620</v>
      </c>
      <c r="AI76" s="78">
        <v>20000</v>
      </c>
      <c r="AJ76" s="78">
        <v>49027</v>
      </c>
      <c r="AK76" s="78">
        <v>20000</v>
      </c>
      <c r="AL76" s="78">
        <v>29027</v>
      </c>
      <c r="AM76" s="78">
        <v>0</v>
      </c>
      <c r="AN76" s="78">
        <v>8.8800000000000008</v>
      </c>
      <c r="AO76" s="77">
        <v>0</v>
      </c>
      <c r="AP76" s="77"/>
      <c r="AQ76" s="15"/>
      <c r="AR76" s="13">
        <v>43971</v>
      </c>
      <c r="AS76" s="16">
        <v>2.6622499999999998</v>
      </c>
      <c r="AT76" s="17">
        <v>2.6583333333333332</v>
      </c>
      <c r="AU76" s="17">
        <v>1.8816875</v>
      </c>
      <c r="AV76" s="64">
        <v>2.2451666666666665</v>
      </c>
      <c r="AX76" s="78"/>
      <c r="AY76" s="13">
        <v>43620</v>
      </c>
      <c r="AZ76" s="78">
        <f t="array" ref="AZ76">INDEX(_xlfn._xlws.FILTER(Table13[],Table13[Days To Maturity]=AZ$3),MATCH($AY76,Table13[Date_d],0),8)</f>
        <v>6.01</v>
      </c>
      <c r="BA76" s="78">
        <f t="array" ref="BA76">INDEX(_xlfn._xlws.FILTER(Table13[],Table13[Days To Maturity]=BA$3),MATCH($AY76,Table13[Date_d],0),8)</f>
        <v>5.17</v>
      </c>
      <c r="BB76" s="78">
        <f t="array" ref="BB76">INDEX(_xlfn._xlws.FILTER(Table13[],Table13[Days To Maturity]=BB$3),MATCH($AY76,Table13[Date_d],0),8)</f>
        <v>5.03</v>
      </c>
    </row>
    <row r="77" spans="1:54" x14ac:dyDescent="0.2">
      <c r="A77" s="9">
        <v>43432</v>
      </c>
      <c r="B77" s="10" t="s">
        <v>116</v>
      </c>
      <c r="C77" s="10">
        <v>91</v>
      </c>
      <c r="D77" s="10" t="s">
        <v>20</v>
      </c>
      <c r="E77" s="18" t="s">
        <v>54</v>
      </c>
      <c r="F77" s="18" t="s">
        <v>54</v>
      </c>
      <c r="G77" s="18" t="s">
        <v>54</v>
      </c>
      <c r="H77" s="37" t="s">
        <v>54</v>
      </c>
      <c r="I77" s="37">
        <v>10.01</v>
      </c>
      <c r="J77" s="32">
        <f t="array" ref="J7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43524</v>
      </c>
      <c r="K77" s="59">
        <f>IFERROR(Table13[[#This Row],[Bid Accepted]]*(Table13[[#This Row],[WAYR Current]]%/364*Table13[[#This Row],[Days To Maturity]]),0)</f>
        <v>0</v>
      </c>
      <c r="L77" s="41" t="e">
        <f>+Table13[[#This Row],[Bid Accepted]]-Table13[[#This Row],[Amount Offered]]</f>
        <v>#VALUE!</v>
      </c>
      <c r="M77" s="57" t="e">
        <f>+IF(Table13[[#This Row],[WAYR Last]]&gt;0,IF(Table13[[#This Row],[WAYR Current]]&gt;0,(Table13[[#This Row],[WAYR Current]]-Table13[[#This Row],[WAYR Last]]),""),"")</f>
        <v>#VALUE!</v>
      </c>
      <c r="N77" s="5"/>
      <c r="P77" s="67"/>
      <c r="Q77" s="67"/>
      <c r="R77" s="67"/>
      <c r="T77" s="67"/>
      <c r="AH77" s="13">
        <v>43628</v>
      </c>
      <c r="AI77" s="78">
        <v>19000</v>
      </c>
      <c r="AJ77" s="78">
        <v>52716</v>
      </c>
      <c r="AK77" s="78">
        <v>17734</v>
      </c>
      <c r="AL77" s="78">
        <v>33716</v>
      </c>
      <c r="AM77" s="78">
        <v>-1266</v>
      </c>
      <c r="AN77" s="78">
        <v>0</v>
      </c>
      <c r="AO77" s="77">
        <v>-6.6631578947368417E-2</v>
      </c>
      <c r="AP77" s="77"/>
      <c r="AQ77" s="15"/>
      <c r="AR77" s="13">
        <v>43978</v>
      </c>
      <c r="AS77" s="16">
        <v>3.0375000000000001</v>
      </c>
      <c r="AT77" s="17">
        <v>3.2833333333333332</v>
      </c>
      <c r="AU77" s="17">
        <v>1.4176249999999999</v>
      </c>
      <c r="AV77" s="64">
        <v>2.2227333333333332</v>
      </c>
      <c r="AX77" s="78"/>
      <c r="AY77" s="13">
        <v>43628</v>
      </c>
      <c r="AZ77" s="78">
        <f t="array" ref="AZ77">INDEX(_xlfn._xlws.FILTER(Table13[],Table13[Days To Maturity]=AZ$3),MATCH($AY77,Table13[Date_d],0),8)</f>
        <v>6.7</v>
      </c>
      <c r="BA77" s="78">
        <f t="array" ref="BA77">INDEX(_xlfn._xlws.FILTER(Table13[],Table13[Days To Maturity]=BA$3),MATCH($AY77,Table13[Date_d],0),8)</f>
        <v>5.19</v>
      </c>
      <c r="BB77" s="78">
        <f t="array" ref="BB77">INDEX(_xlfn._xlws.FILTER(Table13[],Table13[Days To Maturity]=BB$3),MATCH($AY77,Table13[Date_d],0),8)</f>
        <v>5.0199999999999996</v>
      </c>
    </row>
    <row r="78" spans="1:54" x14ac:dyDescent="0.2">
      <c r="A78" s="34">
        <v>43432</v>
      </c>
      <c r="B78" s="35" t="s">
        <v>117</v>
      </c>
      <c r="C78" s="35">
        <v>182</v>
      </c>
      <c r="D78" s="35" t="s">
        <v>20</v>
      </c>
      <c r="E78" s="38">
        <v>8000</v>
      </c>
      <c r="F78" s="38">
        <v>23788</v>
      </c>
      <c r="G78" s="38" t="s">
        <v>54</v>
      </c>
      <c r="H78" s="39" t="s">
        <v>54</v>
      </c>
      <c r="I78" s="39" t="s">
        <v>54</v>
      </c>
      <c r="J78" s="32">
        <f t="array" ref="J7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43613</v>
      </c>
      <c r="K78" s="59">
        <f>IFERROR(Table13[[#This Row],[Bid Accepted]]*(Table13[[#This Row],[WAYR Current]]%/364*Table13[[#This Row],[Days To Maturity]]),0)</f>
        <v>0</v>
      </c>
      <c r="L78" s="41" t="e">
        <f>+Table13[[#This Row],[Bid Accepted]]-Table13[[#This Row],[Amount Offered]]</f>
        <v>#VALUE!</v>
      </c>
      <c r="M78" s="57" t="e">
        <f>+IF(Table13[[#This Row],[WAYR Last]]&gt;0,IF(Table13[[#This Row],[WAYR Current]]&gt;0,(Table13[[#This Row],[WAYR Current]]-Table13[[#This Row],[WAYR Last]]),""),"")</f>
        <v>#VALUE!</v>
      </c>
      <c r="N78" s="5"/>
      <c r="P78" s="67"/>
      <c r="Q78" s="67"/>
      <c r="R78" s="67"/>
      <c r="T78" s="67"/>
      <c r="AH78" s="13">
        <v>43635</v>
      </c>
      <c r="AI78" s="78">
        <v>19000</v>
      </c>
      <c r="AJ78" s="78">
        <v>61270</v>
      </c>
      <c r="AK78" s="78">
        <v>19000</v>
      </c>
      <c r="AL78" s="78">
        <v>42270</v>
      </c>
      <c r="AM78" s="78">
        <v>0</v>
      </c>
      <c r="AN78" s="78">
        <v>8.86</v>
      </c>
      <c r="AO78" s="77">
        <v>0</v>
      </c>
      <c r="AP78" s="77"/>
      <c r="AQ78" s="15"/>
      <c r="AR78" s="13">
        <v>43984</v>
      </c>
      <c r="AS78" s="16">
        <v>1.1214285714285714</v>
      </c>
      <c r="AT78" s="17">
        <v>3.2092000000000001</v>
      </c>
      <c r="AU78" s="17">
        <v>2.5579999999999998</v>
      </c>
      <c r="AV78" s="64">
        <v>1.6982790697674419</v>
      </c>
      <c r="AX78" s="78"/>
      <c r="AY78" s="13">
        <v>43635</v>
      </c>
      <c r="AZ78" s="78">
        <f t="array" ref="AZ78">INDEX(_xlfn._xlws.FILTER(Table13[],Table13[Days To Maturity]=AZ$3),MATCH($AY78,Table13[Date_d],0),8)</f>
        <v>8.39</v>
      </c>
      <c r="BA78" s="78">
        <f t="array" ref="BA78">INDEX(_xlfn._xlws.FILTER(Table13[],Table13[Days To Maturity]=BA$3),MATCH($AY78,Table13[Date_d],0),8)</f>
        <v>0</v>
      </c>
      <c r="BB78" s="78">
        <f t="array" ref="BB78">INDEX(_xlfn._xlws.FILTER(Table13[],Table13[Days To Maturity]=BB$3),MATCH($AY78,Table13[Date_d],0),8)</f>
        <v>5.0199999999999996</v>
      </c>
    </row>
    <row r="79" spans="1:54" x14ac:dyDescent="0.2">
      <c r="A79" s="34">
        <v>43432</v>
      </c>
      <c r="B79" s="35" t="s">
        <v>118</v>
      </c>
      <c r="C79" s="35">
        <v>364</v>
      </c>
      <c r="D79" s="35" t="s">
        <v>20</v>
      </c>
      <c r="E79" s="38">
        <v>10000</v>
      </c>
      <c r="F79" s="38">
        <v>34181</v>
      </c>
      <c r="G79" s="38">
        <v>18000</v>
      </c>
      <c r="H79" s="39">
        <v>11.2</v>
      </c>
      <c r="I79" s="39">
        <v>11.21</v>
      </c>
      <c r="J79" s="32">
        <f t="array" ref="J7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43797</v>
      </c>
      <c r="K79" s="59">
        <f>IFERROR(Table13[[#This Row],[Bid Accepted]]*(Table13[[#This Row],[WAYR Current]]%/364*Table13[[#This Row],[Days To Maturity]]),0)</f>
        <v>2015.9999999999998</v>
      </c>
      <c r="L79" s="41">
        <f>+Table13[[#This Row],[Bid Accepted]]-Table13[[#This Row],[Amount Offered]]</f>
        <v>8000</v>
      </c>
      <c r="M79" s="57">
        <f>+IF(Table13[[#This Row],[WAYR Last]]&gt;0,IF(Table13[[#This Row],[WAYR Current]]&gt;0,(Table13[[#This Row],[WAYR Current]]-Table13[[#This Row],[WAYR Last]]),""),"")</f>
        <v>-1.0000000000001563E-2</v>
      </c>
      <c r="N79" s="5"/>
      <c r="P79" s="67"/>
      <c r="Q79" s="67"/>
      <c r="R79" s="67"/>
      <c r="T79" s="67"/>
      <c r="AH79" s="13">
        <v>43642</v>
      </c>
      <c r="AI79" s="78">
        <v>16500</v>
      </c>
      <c r="AJ79" s="78">
        <v>80525</v>
      </c>
      <c r="AK79" s="78">
        <v>16500</v>
      </c>
      <c r="AL79" s="78">
        <v>64025</v>
      </c>
      <c r="AM79" s="78">
        <v>0</v>
      </c>
      <c r="AN79" s="78">
        <v>8.6999999999999993</v>
      </c>
      <c r="AO79" s="77">
        <v>0</v>
      </c>
      <c r="AP79" s="77"/>
      <c r="AQ79" s="15"/>
      <c r="AR79" s="13">
        <v>43992</v>
      </c>
      <c r="AS79" s="16">
        <v>1.3285714285714285</v>
      </c>
      <c r="AT79" s="17">
        <v>3.2875000000000001</v>
      </c>
      <c r="AU79" s="17">
        <v>1.3583333333333334</v>
      </c>
      <c r="AV79" s="64">
        <v>1.6847826086956521</v>
      </c>
      <c r="AX79" s="78"/>
      <c r="AY79" s="13">
        <v>43642</v>
      </c>
      <c r="AZ79" s="78">
        <f t="array" ref="AZ79">INDEX(_xlfn._xlws.FILTER(Table13[],Table13[Days To Maturity]=AZ$3),MATCH($AY79,Table13[Date_d],0),8)</f>
        <v>7.98</v>
      </c>
      <c r="BA79" s="78">
        <f t="array" ref="BA79">INDEX(_xlfn._xlws.FILTER(Table13[],Table13[Days To Maturity]=BA$3),MATCH($AY79,Table13[Date_d],0),8)</f>
        <v>5.27</v>
      </c>
      <c r="BB79" s="78">
        <f t="array" ref="BB79">INDEX(_xlfn._xlws.FILTER(Table13[],Table13[Days To Maturity]=BB$3),MATCH($AY79,Table13[Date_d],0),8)</f>
        <v>5.09</v>
      </c>
    </row>
    <row r="80" spans="1:54" x14ac:dyDescent="0.2">
      <c r="A80" s="34">
        <v>43439</v>
      </c>
      <c r="B80" s="35" t="s">
        <v>119</v>
      </c>
      <c r="C80" s="35">
        <v>91</v>
      </c>
      <c r="D80" s="35" t="s">
        <v>20</v>
      </c>
      <c r="E80" s="38" t="s">
        <v>54</v>
      </c>
      <c r="F80" s="38" t="s">
        <v>54</v>
      </c>
      <c r="G80" s="38" t="s">
        <v>54</v>
      </c>
      <c r="H80" s="39" t="s">
        <v>54</v>
      </c>
      <c r="I80" s="39" t="s">
        <v>54</v>
      </c>
      <c r="J80" s="32">
        <f t="array" ref="J8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43529</v>
      </c>
      <c r="K80" s="59">
        <f>IFERROR(Table13[[#This Row],[Bid Accepted]]*(Table13[[#This Row],[WAYR Current]]%/364*Table13[[#This Row],[Days To Maturity]]),0)</f>
        <v>0</v>
      </c>
      <c r="L80" s="41" t="e">
        <f>+Table13[[#This Row],[Bid Accepted]]-Table13[[#This Row],[Amount Offered]]</f>
        <v>#VALUE!</v>
      </c>
      <c r="M80" s="57" t="e">
        <f>+IF(Table13[[#This Row],[WAYR Last]]&gt;0,IF(Table13[[#This Row],[WAYR Current]]&gt;0,(Table13[[#This Row],[WAYR Current]]-Table13[[#This Row],[WAYR Last]]),""),"")</f>
        <v>#VALUE!</v>
      </c>
      <c r="N80" s="5"/>
      <c r="P80" s="67"/>
      <c r="Q80" s="67"/>
      <c r="R80" s="67"/>
      <c r="T80" s="67"/>
      <c r="AH80" s="13">
        <v>43649</v>
      </c>
      <c r="AI80" s="78">
        <v>23000</v>
      </c>
      <c r="AJ80" s="78">
        <v>62557</v>
      </c>
      <c r="AK80" s="78">
        <v>23000</v>
      </c>
      <c r="AL80" s="78">
        <v>39557</v>
      </c>
      <c r="AM80" s="78">
        <v>0</v>
      </c>
      <c r="AN80" s="78">
        <v>8.59</v>
      </c>
      <c r="AO80" s="77">
        <v>0</v>
      </c>
      <c r="AP80" s="77"/>
      <c r="AQ80" s="15"/>
      <c r="AR80" s="13">
        <v>43999</v>
      </c>
      <c r="AS80" s="16">
        <v>4.3131250000000003</v>
      </c>
      <c r="AT80" s="17">
        <v>11.54</v>
      </c>
      <c r="AU80" s="17">
        <v>5.3898333333333337</v>
      </c>
      <c r="AV80" s="64">
        <v>5.8175217391304344</v>
      </c>
      <c r="AX80" s="78"/>
      <c r="AY80" s="13">
        <v>43649</v>
      </c>
      <c r="AZ80" s="78">
        <f t="array" ref="AZ80">INDEX(_xlfn._xlws.FILTER(Table13[],Table13[Days To Maturity]=AZ$3),MATCH($AY80,Table13[Date_d],0),8)</f>
        <v>7.23</v>
      </c>
      <c r="BA80" s="78">
        <f t="array" ref="BA80">INDEX(_xlfn._xlws.FILTER(Table13[],Table13[Days To Maturity]=BA$3),MATCH($AY80,Table13[Date_d],0),8)</f>
        <v>5.95</v>
      </c>
      <c r="BB80" s="78">
        <f t="array" ref="BB80">INDEX(_xlfn._xlws.FILTER(Table13[],Table13[Days To Maturity]=BB$3),MATCH($AY80,Table13[Date_d],0),8)</f>
        <v>5.0999999999999996</v>
      </c>
    </row>
    <row r="81" spans="1:54" x14ac:dyDescent="0.2">
      <c r="A81" s="9">
        <v>43439</v>
      </c>
      <c r="B81" s="10" t="s">
        <v>120</v>
      </c>
      <c r="C81" s="10">
        <v>182</v>
      </c>
      <c r="D81" s="10" t="s">
        <v>20</v>
      </c>
      <c r="E81" s="18">
        <v>6000</v>
      </c>
      <c r="F81" s="18">
        <v>18073</v>
      </c>
      <c r="G81" s="18">
        <v>6000</v>
      </c>
      <c r="H81" s="37">
        <v>10.01</v>
      </c>
      <c r="I81" s="37" t="s">
        <v>54</v>
      </c>
      <c r="J81" s="32">
        <f t="array" ref="J8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43621</v>
      </c>
      <c r="K81" s="59">
        <f>IFERROR(Table13[[#This Row],[Bid Accepted]]*(Table13[[#This Row],[WAYR Current]]%/364*Table13[[#This Row],[Days To Maturity]]),0)</f>
        <v>300.29999999999995</v>
      </c>
      <c r="L81" s="41">
        <f>+Table13[[#This Row],[Bid Accepted]]-Table13[[#This Row],[Amount Offered]]</f>
        <v>0</v>
      </c>
      <c r="M81" s="57" t="e">
        <f>+IF(Table13[[#This Row],[WAYR Last]]&gt;0,IF(Table13[[#This Row],[WAYR Current]]&gt;0,(Table13[[#This Row],[WAYR Current]]-Table13[[#This Row],[WAYR Last]]),""),"")</f>
        <v>#VALUE!</v>
      </c>
      <c r="N81" s="5"/>
      <c r="P81" s="67"/>
      <c r="Q81" s="67"/>
      <c r="R81" s="67"/>
      <c r="T81" s="67"/>
      <c r="AH81" s="13">
        <v>43656</v>
      </c>
      <c r="AI81" s="78">
        <v>22500</v>
      </c>
      <c r="AJ81" s="78">
        <v>82875</v>
      </c>
      <c r="AK81" s="78">
        <v>22500</v>
      </c>
      <c r="AL81" s="78">
        <v>60375</v>
      </c>
      <c r="AM81" s="78">
        <v>0</v>
      </c>
      <c r="AN81" s="78">
        <v>8.5399999999999991</v>
      </c>
      <c r="AO81" s="77">
        <v>0</v>
      </c>
      <c r="AP81" s="77"/>
      <c r="AQ81" s="15"/>
      <c r="AR81" s="13">
        <v>44006</v>
      </c>
      <c r="AS81" s="16">
        <v>3.9866666666666668</v>
      </c>
      <c r="AT81" s="17">
        <v>5.7857142857142856</v>
      </c>
      <c r="AU81" s="17">
        <v>4.8769375000000004</v>
      </c>
      <c r="AV81" s="64">
        <v>4.7474444444444446</v>
      </c>
      <c r="AX81" s="78"/>
      <c r="AY81" s="13">
        <v>43656</v>
      </c>
      <c r="AZ81" s="78">
        <f t="array" ref="AZ81">INDEX(_xlfn._xlws.FILTER(Table13[],Table13[Days To Maturity]=AZ$3),MATCH($AY81,Table13[Date_d],0),8)</f>
        <v>8.26</v>
      </c>
      <c r="BA81" s="78">
        <f t="array" ref="BA81">INDEX(_xlfn._xlws.FILTER(Table13[],Table13[Days To Maturity]=BA$3),MATCH($AY81,Table13[Date_d],0),8)</f>
        <v>6.27</v>
      </c>
      <c r="BB81" s="78" t="str">
        <f t="array" ref="BB81">INDEX(_xlfn._xlws.FILTER(Table13[],Table13[Days To Maturity]=BB$3),MATCH($AY81,Table13[Date_d],0),8)</f>
        <v>-</v>
      </c>
    </row>
    <row r="82" spans="1:54" x14ac:dyDescent="0.2">
      <c r="A82" s="9">
        <v>43439</v>
      </c>
      <c r="B82" s="10" t="s">
        <v>121</v>
      </c>
      <c r="C82" s="10">
        <v>364</v>
      </c>
      <c r="D82" s="10" t="s">
        <v>20</v>
      </c>
      <c r="E82" s="18">
        <v>13000</v>
      </c>
      <c r="F82" s="18">
        <v>40176</v>
      </c>
      <c r="G82" s="18">
        <v>13000</v>
      </c>
      <c r="H82" s="37">
        <v>11.2</v>
      </c>
      <c r="I82" s="37">
        <v>11.2</v>
      </c>
      <c r="J82" s="32">
        <f t="array" ref="J8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43804</v>
      </c>
      <c r="K82" s="59">
        <f>IFERROR(Table13[[#This Row],[Bid Accepted]]*(Table13[[#This Row],[WAYR Current]]%/364*Table13[[#This Row],[Days To Maturity]]),0)</f>
        <v>1455.9999999999998</v>
      </c>
      <c r="L82" s="41">
        <f>+Table13[[#This Row],[Bid Accepted]]-Table13[[#This Row],[Amount Offered]]</f>
        <v>0</v>
      </c>
      <c r="M82" s="57">
        <f>+IF(Table13[[#This Row],[WAYR Last]]&gt;0,IF(Table13[[#This Row],[WAYR Current]]&gt;0,(Table13[[#This Row],[WAYR Current]]-Table13[[#This Row],[WAYR Last]]),""),"")</f>
        <v>0</v>
      </c>
      <c r="N82" s="5"/>
      <c r="P82" s="67"/>
      <c r="Q82" s="67"/>
      <c r="R82" s="67"/>
      <c r="T82" s="67"/>
      <c r="AH82" s="13">
        <v>43663</v>
      </c>
      <c r="AI82" s="78">
        <v>23500</v>
      </c>
      <c r="AJ82" s="78">
        <v>72195</v>
      </c>
      <c r="AK82" s="78">
        <v>23500</v>
      </c>
      <c r="AL82" s="78">
        <v>48695</v>
      </c>
      <c r="AM82" s="78">
        <v>0</v>
      </c>
      <c r="AN82" s="78">
        <v>8.4600000000000009</v>
      </c>
      <c r="AO82" s="77">
        <v>0</v>
      </c>
      <c r="AP82" s="77"/>
      <c r="AQ82" s="15"/>
      <c r="AR82" s="13">
        <v>44013</v>
      </c>
      <c r="AS82" s="16">
        <v>10.689</v>
      </c>
      <c r="AT82" s="17">
        <v>3.6218888888888889</v>
      </c>
      <c r="AU82" s="17">
        <v>2.3023888888888888</v>
      </c>
      <c r="AV82" s="64">
        <v>3.2902758620689654</v>
      </c>
      <c r="AX82" s="78"/>
      <c r="AY82" s="13">
        <v>43663</v>
      </c>
      <c r="AZ82" s="78">
        <f t="array" ref="AZ82">INDEX(_xlfn._xlws.FILTER(Table13[],Table13[Days To Maturity]=AZ$3),MATCH($AY82,Table13[Date_d],0),8)</f>
        <v>8.6300000000000008</v>
      </c>
      <c r="BA82" s="78">
        <f t="array" ref="BA82">INDEX(_xlfn._xlws.FILTER(Table13[],Table13[Days To Maturity]=BA$3),MATCH($AY82,Table13[Date_d],0),8)</f>
        <v>0</v>
      </c>
      <c r="BB82" s="78">
        <f t="array" ref="BB82">INDEX(_xlfn._xlws.FILTER(Table13[],Table13[Days To Maturity]=BB$3),MATCH($AY82,Table13[Date_d],0),8)</f>
        <v>5.18</v>
      </c>
    </row>
    <row r="83" spans="1:54" x14ac:dyDescent="0.2">
      <c r="A83" s="9">
        <v>43446</v>
      </c>
      <c r="B83" s="10" t="s">
        <v>122</v>
      </c>
      <c r="C83" s="10">
        <v>91</v>
      </c>
      <c r="D83" s="10" t="s">
        <v>20</v>
      </c>
      <c r="E83" s="18" t="s">
        <v>54</v>
      </c>
      <c r="F83" s="18" t="s">
        <v>54</v>
      </c>
      <c r="G83" s="18" t="s">
        <v>54</v>
      </c>
      <c r="H83" s="37" t="s">
        <v>54</v>
      </c>
      <c r="I83" s="37" t="s">
        <v>54</v>
      </c>
      <c r="J83" s="32">
        <f t="array" ref="J8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43536</v>
      </c>
      <c r="K83" s="59">
        <f>IFERROR(Table13[[#This Row],[Bid Accepted]]*(Table13[[#This Row],[WAYR Current]]%/364*Table13[[#This Row],[Days To Maturity]]),0)</f>
        <v>0</v>
      </c>
      <c r="L83" s="41" t="e">
        <f>+Table13[[#This Row],[Bid Accepted]]-Table13[[#This Row],[Amount Offered]]</f>
        <v>#VALUE!</v>
      </c>
      <c r="M83" s="57" t="e">
        <f>+IF(Table13[[#This Row],[WAYR Last]]&gt;0,IF(Table13[[#This Row],[WAYR Current]]&gt;0,(Table13[[#This Row],[WAYR Current]]-Table13[[#This Row],[WAYR Last]]),""),"")</f>
        <v>#VALUE!</v>
      </c>
      <c r="N83" s="5"/>
      <c r="P83" s="67"/>
      <c r="Q83" s="67"/>
      <c r="R83" s="67"/>
      <c r="T83" s="67"/>
      <c r="AH83" s="13">
        <v>43670</v>
      </c>
      <c r="AI83" s="78">
        <v>25000</v>
      </c>
      <c r="AJ83" s="78">
        <v>78135</v>
      </c>
      <c r="AK83" s="78">
        <v>25000</v>
      </c>
      <c r="AL83" s="78">
        <v>53135</v>
      </c>
      <c r="AM83" s="78">
        <v>0</v>
      </c>
      <c r="AN83" s="78">
        <v>8.3800000000000008</v>
      </c>
      <c r="AO83" s="77">
        <v>0</v>
      </c>
      <c r="AP83" s="77"/>
      <c r="AQ83" s="15"/>
      <c r="AR83" s="13">
        <v>44020</v>
      </c>
      <c r="AS83" s="16">
        <v>1.5562499999999999</v>
      </c>
      <c r="AT83" s="17">
        <v>2.5916666666666668</v>
      </c>
      <c r="AU83" s="17">
        <v>2.1216216216216215</v>
      </c>
      <c r="AV83" s="64">
        <v>2.1412280701754387</v>
      </c>
      <c r="AX83" s="78"/>
      <c r="AY83" s="13">
        <v>43670</v>
      </c>
      <c r="AZ83" s="78">
        <f t="array" ref="AZ83">INDEX(_xlfn._xlws.FILTER(Table13[],Table13[Days To Maturity]=AZ$3),MATCH($AY83,Table13[Date_d],0),8)</f>
        <v>8.5</v>
      </c>
      <c r="BA83" s="78">
        <f t="array" ref="BA83">INDEX(_xlfn._xlws.FILTER(Table13[],Table13[Days To Maturity]=BA$3),MATCH($AY83,Table13[Date_d],0),8)</f>
        <v>8.2100000000000009</v>
      </c>
      <c r="BB83" s="78">
        <f t="array" ref="BB83">INDEX(_xlfn._xlws.FILTER(Table13[],Table13[Days To Maturity]=BB$3),MATCH($AY83,Table13[Date_d],0),8)</f>
        <v>5.18</v>
      </c>
    </row>
    <row r="84" spans="1:54" x14ac:dyDescent="0.2">
      <c r="A84" s="34">
        <v>43446</v>
      </c>
      <c r="B84" s="35" t="s">
        <v>123</v>
      </c>
      <c r="C84" s="35">
        <v>182</v>
      </c>
      <c r="D84" s="35" t="s">
        <v>20</v>
      </c>
      <c r="E84" s="38">
        <v>7000</v>
      </c>
      <c r="F84" s="38">
        <v>16750</v>
      </c>
      <c r="G84" s="38">
        <v>8300</v>
      </c>
      <c r="H84" s="39">
        <v>10.029999999999999</v>
      </c>
      <c r="I84" s="39">
        <v>10.01</v>
      </c>
      <c r="J84" s="32">
        <f t="array" ref="J8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43628</v>
      </c>
      <c r="K84" s="59">
        <f>IFERROR(Table13[[#This Row],[Bid Accepted]]*(Table13[[#This Row],[WAYR Current]]%/364*Table13[[#This Row],[Days To Maturity]]),0)</f>
        <v>416.245</v>
      </c>
      <c r="L84" s="41">
        <f>+Table13[[#This Row],[Bid Accepted]]-Table13[[#This Row],[Amount Offered]]</f>
        <v>1300</v>
      </c>
      <c r="M84" s="57">
        <f>+IF(Table13[[#This Row],[WAYR Last]]&gt;0,IF(Table13[[#This Row],[WAYR Current]]&gt;0,(Table13[[#This Row],[WAYR Current]]-Table13[[#This Row],[WAYR Last]]),""),"")</f>
        <v>1.9999999999999574E-2</v>
      </c>
      <c r="N84" s="5"/>
      <c r="P84" s="67"/>
      <c r="Q84" s="67"/>
      <c r="R84" s="67"/>
      <c r="T84" s="67"/>
      <c r="AH84" s="13">
        <v>43677</v>
      </c>
      <c r="AI84" s="78">
        <v>22000</v>
      </c>
      <c r="AJ84" s="78">
        <v>60228</v>
      </c>
      <c r="AK84" s="78">
        <v>22000</v>
      </c>
      <c r="AL84" s="78">
        <v>38228</v>
      </c>
      <c r="AM84" s="78">
        <v>0</v>
      </c>
      <c r="AN84" s="78">
        <v>8.2100000000000009</v>
      </c>
      <c r="AO84" s="77">
        <v>0</v>
      </c>
      <c r="AP84" s="77"/>
      <c r="AQ84" s="15"/>
      <c r="AR84" s="13">
        <v>44027</v>
      </c>
      <c r="AS84" s="16">
        <v>3.99</v>
      </c>
      <c r="AT84" s="17">
        <v>5.7842000000000002</v>
      </c>
      <c r="AU84" s="17">
        <v>3.5466666666666669</v>
      </c>
      <c r="AV84" s="64">
        <v>4.001050847457627</v>
      </c>
      <c r="AX84" s="78"/>
      <c r="AY84" s="13">
        <v>43677</v>
      </c>
      <c r="AZ84" s="78">
        <f t="array" ref="AZ84">INDEX(_xlfn._xlws.FILTER(Table13[],Table13[Days To Maturity]=AZ$3),MATCH($AY84,Table13[Date_d],0),8)</f>
        <v>10.29</v>
      </c>
      <c r="BA84" s="78">
        <f t="array" ref="BA84">INDEX(_xlfn._xlws.FILTER(Table13[],Table13[Days To Maturity]=BA$3),MATCH($AY84,Table13[Date_d],0),8)</f>
        <v>8.02</v>
      </c>
      <c r="BB84" s="78">
        <f t="array" ref="BB84">INDEX(_xlfn._xlws.FILTER(Table13[],Table13[Days To Maturity]=BB$3),MATCH($AY84,Table13[Date_d],0),8)</f>
        <v>5.21</v>
      </c>
    </row>
    <row r="85" spans="1:54" x14ac:dyDescent="0.2">
      <c r="A85" s="34">
        <v>43446</v>
      </c>
      <c r="B85" s="35" t="s">
        <v>124</v>
      </c>
      <c r="C85" s="35">
        <v>364</v>
      </c>
      <c r="D85" s="35" t="s">
        <v>20</v>
      </c>
      <c r="E85" s="38">
        <v>16000</v>
      </c>
      <c r="F85" s="38">
        <v>31636</v>
      </c>
      <c r="G85" s="38">
        <v>14700</v>
      </c>
      <c r="H85" s="39">
        <v>11.24</v>
      </c>
      <c r="I85" s="39">
        <v>11.2</v>
      </c>
      <c r="J85" s="32">
        <f t="array" ref="J8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43811</v>
      </c>
      <c r="K85" s="59">
        <f>IFERROR(Table13[[#This Row],[Bid Accepted]]*(Table13[[#This Row],[WAYR Current]]%/364*Table13[[#This Row],[Days To Maturity]]),0)</f>
        <v>1652.2800000000002</v>
      </c>
      <c r="L85" s="41">
        <f>+Table13[[#This Row],[Bid Accepted]]-Table13[[#This Row],[Amount Offered]]</f>
        <v>-1300</v>
      </c>
      <c r="M85" s="57">
        <f>+IF(Table13[[#This Row],[WAYR Last]]&gt;0,IF(Table13[[#This Row],[WAYR Current]]&gt;0,(Table13[[#This Row],[WAYR Current]]-Table13[[#This Row],[WAYR Last]]),""),"")</f>
        <v>4.0000000000000924E-2</v>
      </c>
      <c r="N85" s="23"/>
      <c r="P85" s="67"/>
      <c r="Q85" s="67"/>
      <c r="R85" s="67"/>
      <c r="T85" s="67"/>
      <c r="AH85" s="13">
        <v>43684</v>
      </c>
      <c r="AI85" s="78">
        <v>18500</v>
      </c>
      <c r="AJ85" s="78">
        <v>40097</v>
      </c>
      <c r="AK85" s="78">
        <v>18500</v>
      </c>
      <c r="AL85" s="78">
        <v>21597</v>
      </c>
      <c r="AM85" s="78">
        <v>0</v>
      </c>
      <c r="AN85" s="78">
        <v>8.11</v>
      </c>
      <c r="AO85" s="77">
        <v>0</v>
      </c>
      <c r="AP85" s="77"/>
      <c r="AQ85" s="15"/>
      <c r="AR85" s="13">
        <v>44034</v>
      </c>
      <c r="AS85" s="16">
        <v>2.9615217391304349</v>
      </c>
      <c r="AT85" s="17">
        <v>3.0206666666666666</v>
      </c>
      <c r="AU85" s="17">
        <v>1.3271020408163265</v>
      </c>
      <c r="AV85" s="64">
        <v>1.8307977207977209</v>
      </c>
      <c r="AX85" s="78"/>
      <c r="AY85" s="13">
        <v>43684</v>
      </c>
      <c r="AZ85" s="78">
        <f t="array" ref="AZ85">INDEX(_xlfn._xlws.FILTER(Table13[],Table13[Days To Maturity]=AZ$3),MATCH($AY85,Table13[Date_d],0),8)</f>
        <v>12.92</v>
      </c>
      <c r="BA85" s="78">
        <f t="array" ref="BA85">INDEX(_xlfn._xlws.FILTER(Table13[],Table13[Days To Maturity]=BA$3),MATCH($AY85,Table13[Date_d],0),8)</f>
        <v>8.33</v>
      </c>
      <c r="BB85" s="78">
        <f t="array" ref="BB85">INDEX(_xlfn._xlws.FILTER(Table13[],Table13[Days To Maturity]=BB$3),MATCH($AY85,Table13[Date_d],0),8)</f>
        <v>5.23</v>
      </c>
    </row>
    <row r="86" spans="1:54" x14ac:dyDescent="0.2">
      <c r="A86" s="34">
        <v>43453</v>
      </c>
      <c r="B86" s="35" t="s">
        <v>125</v>
      </c>
      <c r="C86" s="35">
        <v>91</v>
      </c>
      <c r="D86" s="35" t="s">
        <v>20</v>
      </c>
      <c r="E86" s="38" t="s">
        <v>54</v>
      </c>
      <c r="F86" s="38" t="s">
        <v>54</v>
      </c>
      <c r="G86" s="38" t="s">
        <v>54</v>
      </c>
      <c r="H86" s="39" t="s">
        <v>54</v>
      </c>
      <c r="I86" s="39" t="s">
        <v>54</v>
      </c>
      <c r="J86" s="32">
        <f t="array" ref="J8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43543</v>
      </c>
      <c r="K86" s="59">
        <f>IFERROR(Table13[[#This Row],[Bid Accepted]]*(Table13[[#This Row],[WAYR Current]]%/364*Table13[[#This Row],[Days To Maturity]]),0)</f>
        <v>0</v>
      </c>
      <c r="L86" s="41" t="e">
        <f>+Table13[[#This Row],[Bid Accepted]]-Table13[[#This Row],[Amount Offered]]</f>
        <v>#VALUE!</v>
      </c>
      <c r="M86" s="57" t="e">
        <f>+IF(Table13[[#This Row],[WAYR Last]]&gt;0,IF(Table13[[#This Row],[WAYR Current]]&gt;0,(Table13[[#This Row],[WAYR Current]]-Table13[[#This Row],[WAYR Last]]),""),"")</f>
        <v>#VALUE!</v>
      </c>
      <c r="N86" s="23"/>
      <c r="P86" s="67"/>
      <c r="Q86" s="67"/>
      <c r="R86" s="67"/>
      <c r="T86" s="67"/>
      <c r="U86" s="5"/>
      <c r="AH86" s="13">
        <v>43690</v>
      </c>
      <c r="AI86" s="78">
        <v>22000</v>
      </c>
      <c r="AJ86" s="78">
        <v>32335</v>
      </c>
      <c r="AK86" s="78">
        <v>18687</v>
      </c>
      <c r="AL86" s="78">
        <v>10335</v>
      </c>
      <c r="AM86" s="78">
        <v>-3313</v>
      </c>
      <c r="AN86" s="78">
        <v>8.17</v>
      </c>
      <c r="AO86" s="77">
        <v>-0.15059090909090908</v>
      </c>
      <c r="AP86" s="77"/>
      <c r="AQ86" s="15"/>
      <c r="AR86" s="13">
        <v>44041</v>
      </c>
      <c r="AS86" s="16">
        <v>1.3638888888888889</v>
      </c>
      <c r="AT86" s="17">
        <v>1.1131666666666666</v>
      </c>
      <c r="AU86" s="17">
        <v>1.1432244897959183</v>
      </c>
      <c r="AV86" s="64">
        <v>1.1889367088607594</v>
      </c>
      <c r="AX86" s="78"/>
      <c r="AY86" s="13">
        <v>43690</v>
      </c>
      <c r="AZ86" s="78">
        <f t="array" ref="AZ86">INDEX(_xlfn._xlws.FILTER(Table13[],Table13[Days To Maturity]=AZ$3),MATCH($AY86,Table13[Date_d],0),8)</f>
        <v>23.21</v>
      </c>
      <c r="BA86" s="78">
        <f t="array" ref="BA86">INDEX(_xlfn._xlws.FILTER(Table13[],Table13[Days To Maturity]=BA$3),MATCH($AY86,Table13[Date_d],0),8)</f>
        <v>8.44</v>
      </c>
      <c r="BB86" s="78">
        <f t="array" ref="BB86">INDEX(_xlfn._xlws.FILTER(Table13[],Table13[Days To Maturity]=BB$3),MATCH($AY86,Table13[Date_d],0),8)</f>
        <v>5.25</v>
      </c>
    </row>
    <row r="87" spans="1:54" x14ac:dyDescent="0.2">
      <c r="A87" s="9">
        <v>43453</v>
      </c>
      <c r="B87" s="10" t="s">
        <v>126</v>
      </c>
      <c r="C87" s="10">
        <v>182</v>
      </c>
      <c r="D87" s="10" t="s">
        <v>20</v>
      </c>
      <c r="E87" s="18">
        <v>8000</v>
      </c>
      <c r="F87" s="18">
        <v>22800</v>
      </c>
      <c r="G87" s="18">
        <v>8000</v>
      </c>
      <c r="H87" s="37">
        <v>9.99</v>
      </c>
      <c r="I87" s="37">
        <v>10.029999999999999</v>
      </c>
      <c r="J87" s="32">
        <f t="array" ref="J8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43635</v>
      </c>
      <c r="K87" s="59">
        <f>IFERROR(Table13[[#This Row],[Bid Accepted]]*(Table13[[#This Row],[WAYR Current]]%/364*Table13[[#This Row],[Days To Maturity]]),0)</f>
        <v>399.59999999999997</v>
      </c>
      <c r="L87" s="41">
        <f>+Table13[[#This Row],[Bid Accepted]]-Table13[[#This Row],[Amount Offered]]</f>
        <v>0</v>
      </c>
      <c r="M87" s="57">
        <f>+IF(Table13[[#This Row],[WAYR Last]]&gt;0,IF(Table13[[#This Row],[WAYR Current]]&gt;0,(Table13[[#This Row],[WAYR Current]]-Table13[[#This Row],[WAYR Last]]),""),"")</f>
        <v>-3.9999999999999147E-2</v>
      </c>
      <c r="N87" s="23"/>
      <c r="P87" s="67"/>
      <c r="Q87" s="67"/>
      <c r="R87" s="67"/>
      <c r="T87" s="67"/>
      <c r="U87" s="5"/>
      <c r="AH87" s="13">
        <v>43698</v>
      </c>
      <c r="AI87" s="78">
        <v>18000</v>
      </c>
      <c r="AJ87" s="78">
        <v>34153</v>
      </c>
      <c r="AK87" s="78">
        <v>18000</v>
      </c>
      <c r="AL87" s="78">
        <v>16153</v>
      </c>
      <c r="AM87" s="78">
        <v>0</v>
      </c>
      <c r="AN87" s="78">
        <v>8.31</v>
      </c>
      <c r="AO87" s="77">
        <v>0</v>
      </c>
      <c r="AP87" s="77"/>
      <c r="AQ87" s="15"/>
      <c r="AR87" s="13">
        <v>44048</v>
      </c>
      <c r="AS87" s="16">
        <v>3.1833333333333331</v>
      </c>
      <c r="AT87" s="17">
        <v>1.5139130434782608</v>
      </c>
      <c r="AU87" s="17">
        <v>1.2777777777777777</v>
      </c>
      <c r="AV87" s="64">
        <v>1.6763380281690141</v>
      </c>
      <c r="AX87" s="78"/>
      <c r="AY87" s="13">
        <v>43698</v>
      </c>
      <c r="AZ87" s="78">
        <f t="array" ref="AZ87">INDEX(_xlfn._xlws.FILTER(Table13[],Table13[Days To Maturity]=AZ$3),MATCH($AY87,Table13[Date_d],0),8)</f>
        <v>24.07</v>
      </c>
      <c r="BA87" s="78">
        <f t="array" ref="BA87">INDEX(_xlfn._xlws.FILTER(Table13[],Table13[Days To Maturity]=BA$3),MATCH($AY87,Table13[Date_d],0),8)</f>
        <v>8.5500000000000007</v>
      </c>
      <c r="BB87" s="78">
        <f t="array" ref="BB87">INDEX(_xlfn._xlws.FILTER(Table13[],Table13[Days To Maturity]=BB$3),MATCH($AY87,Table13[Date_d],0),8)</f>
        <v>5.28</v>
      </c>
    </row>
    <row r="88" spans="1:54" x14ac:dyDescent="0.2">
      <c r="A88" s="9">
        <v>43453</v>
      </c>
      <c r="B88" s="10" t="s">
        <v>127</v>
      </c>
      <c r="C88" s="10">
        <v>364</v>
      </c>
      <c r="D88" s="10" t="s">
        <v>20</v>
      </c>
      <c r="E88" s="18">
        <v>10000</v>
      </c>
      <c r="F88" s="18">
        <v>40060</v>
      </c>
      <c r="G88" s="18">
        <v>10000</v>
      </c>
      <c r="H88" s="37">
        <v>11.2</v>
      </c>
      <c r="I88" s="37">
        <v>11.24</v>
      </c>
      <c r="J88" s="32">
        <f t="array" ref="J8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43818</v>
      </c>
      <c r="K88" s="59">
        <f>IFERROR(Table13[[#This Row],[Bid Accepted]]*(Table13[[#This Row],[WAYR Current]]%/364*Table13[[#This Row],[Days To Maturity]]),0)</f>
        <v>1119.9999999999998</v>
      </c>
      <c r="L88" s="41">
        <f>+Table13[[#This Row],[Bid Accepted]]-Table13[[#This Row],[Amount Offered]]</f>
        <v>0</v>
      </c>
      <c r="M88" s="57">
        <f>+IF(Table13[[#This Row],[WAYR Last]]&gt;0,IF(Table13[[#This Row],[WAYR Current]]&gt;0,(Table13[[#This Row],[WAYR Current]]-Table13[[#This Row],[WAYR Last]]),""),"")</f>
        <v>-4.0000000000000924E-2</v>
      </c>
      <c r="N88" s="23"/>
      <c r="P88" s="67"/>
      <c r="Q88" s="67"/>
      <c r="R88" s="67"/>
      <c r="T88" s="67"/>
      <c r="U88" s="5"/>
      <c r="AH88" s="13">
        <v>43705</v>
      </c>
      <c r="AI88" s="78">
        <v>12500</v>
      </c>
      <c r="AJ88" s="78">
        <v>36988</v>
      </c>
      <c r="AK88" s="78">
        <v>12500</v>
      </c>
      <c r="AL88" s="78">
        <v>24488</v>
      </c>
      <c r="AM88" s="78">
        <v>0</v>
      </c>
      <c r="AN88" s="78">
        <v>8.2200000000000006</v>
      </c>
      <c r="AO88" s="77">
        <v>0</v>
      </c>
      <c r="AP88" s="77"/>
      <c r="AQ88" s="15"/>
      <c r="AR88" s="13">
        <v>44055</v>
      </c>
      <c r="AS88" s="16">
        <v>2.1841249999999999</v>
      </c>
      <c r="AT88" s="17">
        <v>2.2003200000000001</v>
      </c>
      <c r="AU88" s="17">
        <v>1.2815624999999999</v>
      </c>
      <c r="AV88" s="64">
        <v>1.794027397260274</v>
      </c>
      <c r="AX88" s="78"/>
      <c r="AY88" s="13">
        <v>43705</v>
      </c>
      <c r="AZ88" s="78">
        <f t="array" ref="AZ88">INDEX(_xlfn._xlws.FILTER(Table13[],Table13[Days To Maturity]=AZ$3),MATCH($AY88,Table13[Date_d],0),8)</f>
        <v>22.75</v>
      </c>
      <c r="BA88" s="78">
        <f t="array" ref="BA88">INDEX(_xlfn._xlws.FILTER(Table13[],Table13[Days To Maturity]=BA$3),MATCH($AY88,Table13[Date_d],0),8)</f>
        <v>9.8800000000000008</v>
      </c>
      <c r="BB88" s="78">
        <f t="array" ref="BB88">INDEX(_xlfn._xlws.FILTER(Table13[],Table13[Days To Maturity]=BB$3),MATCH($AY88,Table13[Date_d],0),8)</f>
        <v>5.93</v>
      </c>
    </row>
    <row r="89" spans="1:54" x14ac:dyDescent="0.2">
      <c r="A89" s="9">
        <v>43467</v>
      </c>
      <c r="B89" s="10" t="s">
        <v>128</v>
      </c>
      <c r="C89" s="10">
        <v>91</v>
      </c>
      <c r="D89" s="10" t="s">
        <v>20</v>
      </c>
      <c r="E89" s="18" t="s">
        <v>54</v>
      </c>
      <c r="F89" s="18" t="s">
        <v>54</v>
      </c>
      <c r="G89" s="18" t="s">
        <v>54</v>
      </c>
      <c r="H89" s="37" t="s">
        <v>54</v>
      </c>
      <c r="I89" s="37" t="s">
        <v>54</v>
      </c>
      <c r="J89" s="32">
        <f t="array" ref="J8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43557</v>
      </c>
      <c r="K89" s="59">
        <f>IFERROR(Table13[[#This Row],[Bid Accepted]]*(Table13[[#This Row],[WAYR Current]]%/364*Table13[[#This Row],[Days To Maturity]]),0)</f>
        <v>0</v>
      </c>
      <c r="L89" s="41" t="e">
        <f>+Table13[[#This Row],[Bid Accepted]]-Table13[[#This Row],[Amount Offered]]</f>
        <v>#VALUE!</v>
      </c>
      <c r="M89" s="57" t="e">
        <f>+IF(Table13[[#This Row],[WAYR Last]]&gt;0,IF(Table13[[#This Row],[WAYR Current]]&gt;0,(Table13[[#This Row],[WAYR Current]]-Table13[[#This Row],[WAYR Last]]),""),"")</f>
        <v>#VALUE!</v>
      </c>
      <c r="N89" s="23"/>
      <c r="P89" s="67"/>
      <c r="Q89" s="67"/>
      <c r="R89" s="67"/>
      <c r="T89" s="67"/>
      <c r="U89" s="5"/>
      <c r="AH89" s="13">
        <v>43712</v>
      </c>
      <c r="AI89" s="78">
        <v>15000</v>
      </c>
      <c r="AJ89" s="78">
        <v>32108</v>
      </c>
      <c r="AK89" s="78">
        <v>15000</v>
      </c>
      <c r="AL89" s="78">
        <v>17108</v>
      </c>
      <c r="AM89" s="78">
        <v>0</v>
      </c>
      <c r="AN89" s="78">
        <v>8.33</v>
      </c>
      <c r="AO89" s="77">
        <v>0</v>
      </c>
      <c r="AP89" s="77"/>
      <c r="AQ89" s="15"/>
      <c r="AR89" s="13">
        <v>44062</v>
      </c>
      <c r="AS89" s="16">
        <v>2.8849999999999998</v>
      </c>
      <c r="AT89" s="17">
        <v>4.100133333333333</v>
      </c>
      <c r="AU89" s="17">
        <v>2.0674999999999999</v>
      </c>
      <c r="AV89" s="64">
        <v>2.9319250000000001</v>
      </c>
      <c r="AX89" s="78"/>
      <c r="AY89" s="13">
        <v>43712</v>
      </c>
      <c r="AZ89" s="78">
        <f t="array" ref="AZ89">INDEX(_xlfn._xlws.FILTER(Table13[],Table13[Days To Maturity]=AZ$3),MATCH($AY89,Table13[Date_d],0),8)</f>
        <v>20.73</v>
      </c>
      <c r="BA89" s="78">
        <f t="array" ref="BA89">INDEX(_xlfn._xlws.FILTER(Table13[],Table13[Days To Maturity]=BA$3),MATCH($AY89,Table13[Date_d],0),8)</f>
        <v>11.98</v>
      </c>
      <c r="BB89" s="78">
        <f t="array" ref="BB89">INDEX(_xlfn._xlws.FILTER(Table13[],Table13[Days To Maturity]=BB$3),MATCH($AY89,Table13[Date_d],0),8)</f>
        <v>6.12</v>
      </c>
    </row>
    <row r="90" spans="1:54" x14ac:dyDescent="0.2">
      <c r="A90" s="34">
        <v>43467</v>
      </c>
      <c r="B90" s="35" t="s">
        <v>129</v>
      </c>
      <c r="C90" s="35">
        <v>182</v>
      </c>
      <c r="D90" s="35" t="s">
        <v>20</v>
      </c>
      <c r="E90" s="38">
        <v>7000</v>
      </c>
      <c r="F90" s="38">
        <v>14500</v>
      </c>
      <c r="G90" s="38">
        <v>4705</v>
      </c>
      <c r="H90" s="39">
        <v>9.9499999999999993</v>
      </c>
      <c r="I90" s="39">
        <v>9.99</v>
      </c>
      <c r="J90" s="32">
        <f t="array" ref="J9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43648</v>
      </c>
      <c r="K90" s="59">
        <f>IFERROR(Table13[[#This Row],[Bid Accepted]]*(Table13[[#This Row],[WAYR Current]]%/364*Table13[[#This Row],[Days To Maturity]]),0)</f>
        <v>234.07374999999999</v>
      </c>
      <c r="L90" s="41">
        <f>+Table13[[#This Row],[Bid Accepted]]-Table13[[#This Row],[Amount Offered]]</f>
        <v>-2295</v>
      </c>
      <c r="M90" s="57">
        <f>+IF(Table13[[#This Row],[WAYR Last]]&gt;0,IF(Table13[[#This Row],[WAYR Current]]&gt;0,(Table13[[#This Row],[WAYR Current]]-Table13[[#This Row],[WAYR Last]]),""),"")</f>
        <v>-4.0000000000000924E-2</v>
      </c>
      <c r="N90" s="23"/>
      <c r="P90" s="67"/>
      <c r="Q90" s="67"/>
      <c r="R90" s="67"/>
      <c r="T90" s="67"/>
      <c r="U90" s="5"/>
      <c r="AH90" s="13">
        <v>43718</v>
      </c>
      <c r="AI90" s="78">
        <v>22000</v>
      </c>
      <c r="AJ90" s="78">
        <v>49059</v>
      </c>
      <c r="AK90" s="78">
        <v>22000</v>
      </c>
      <c r="AL90" s="78">
        <v>27059</v>
      </c>
      <c r="AM90" s="78">
        <v>0</v>
      </c>
      <c r="AN90" s="78">
        <v>8.36</v>
      </c>
      <c r="AO90" s="77">
        <v>0</v>
      </c>
      <c r="AP90" s="77"/>
      <c r="AQ90" s="15"/>
      <c r="AR90" s="13">
        <v>44069</v>
      </c>
      <c r="AS90" s="16">
        <v>2.5257999999999998</v>
      </c>
      <c r="AT90" s="17">
        <v>2.6650666666666667</v>
      </c>
      <c r="AU90" s="17">
        <v>1.2</v>
      </c>
      <c r="AV90" s="64">
        <v>1.915125</v>
      </c>
      <c r="AX90" s="78"/>
      <c r="AY90" s="13">
        <v>43718</v>
      </c>
      <c r="AZ90" s="78">
        <f t="array" ref="AZ90">INDEX(_xlfn._xlws.FILTER(Table13[],Table13[Days To Maturity]=AZ$3),MATCH($AY90,Table13[Date_d],0),8)</f>
        <v>32.11</v>
      </c>
      <c r="BA90" s="78">
        <f t="array" ref="BA90">INDEX(_xlfn._xlws.FILTER(Table13[],Table13[Days To Maturity]=BA$3),MATCH($AY90,Table13[Date_d],0),8)</f>
        <v>22.73</v>
      </c>
      <c r="BB90" s="78">
        <f t="array" ref="BB90">INDEX(_xlfn._xlws.FILTER(Table13[],Table13[Days To Maturity]=BB$3),MATCH($AY90,Table13[Date_d],0),8)</f>
        <v>7.28</v>
      </c>
    </row>
    <row r="91" spans="1:54" x14ac:dyDescent="0.2">
      <c r="A91" s="34">
        <v>43467</v>
      </c>
      <c r="B91" s="35" t="s">
        <v>130</v>
      </c>
      <c r="C91" s="35">
        <v>364</v>
      </c>
      <c r="D91" s="35" t="s">
        <v>20</v>
      </c>
      <c r="E91" s="38">
        <v>8500</v>
      </c>
      <c r="F91" s="38">
        <v>51000</v>
      </c>
      <c r="G91" s="38">
        <v>10795</v>
      </c>
      <c r="H91" s="39">
        <v>10.99</v>
      </c>
      <c r="I91" s="39">
        <v>11.2</v>
      </c>
      <c r="J91" s="32">
        <f t="array" ref="J9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43832</v>
      </c>
      <c r="K91" s="59">
        <f>IFERROR(Table13[[#This Row],[Bid Accepted]]*(Table13[[#This Row],[WAYR Current]]%/364*Table13[[#This Row],[Days To Maturity]]),0)</f>
        <v>1186.3705</v>
      </c>
      <c r="L91" s="41">
        <f>+Table13[[#This Row],[Bid Accepted]]-Table13[[#This Row],[Amount Offered]]</f>
        <v>2295</v>
      </c>
      <c r="M91" s="57">
        <f>+IF(Table13[[#This Row],[WAYR Last]]&gt;0,IF(Table13[[#This Row],[WAYR Current]]&gt;0,(Table13[[#This Row],[WAYR Current]]-Table13[[#This Row],[WAYR Last]]),""),"")</f>
        <v>-0.20999999999999908</v>
      </c>
      <c r="N91" s="23"/>
      <c r="P91" s="67"/>
      <c r="Q91" s="67"/>
      <c r="R91" s="67"/>
      <c r="T91" s="67"/>
      <c r="U91" s="5"/>
      <c r="AH91" s="13">
        <v>43726</v>
      </c>
      <c r="AI91" s="78">
        <v>8500</v>
      </c>
      <c r="AJ91" s="78">
        <v>28662</v>
      </c>
      <c r="AK91" s="78">
        <v>8500</v>
      </c>
      <c r="AL91" s="78">
        <v>20162</v>
      </c>
      <c r="AM91" s="78">
        <v>0</v>
      </c>
      <c r="AN91" s="78">
        <v>8.41</v>
      </c>
      <c r="AO91" s="77">
        <v>0</v>
      </c>
      <c r="AP91" s="77"/>
      <c r="AQ91" s="15"/>
      <c r="AR91" s="13">
        <v>44076</v>
      </c>
      <c r="AS91" s="16">
        <v>1.3836666666666666</v>
      </c>
      <c r="AT91" s="17">
        <v>1.8149285714285714</v>
      </c>
      <c r="AU91" s="17">
        <v>1.55</v>
      </c>
      <c r="AV91" s="64">
        <v>1.617775</v>
      </c>
      <c r="AX91" s="78"/>
      <c r="AY91" s="13">
        <v>43726</v>
      </c>
      <c r="AZ91" s="78">
        <f t="array" ref="AZ91">INDEX(_xlfn._xlws.FILTER(Table13[],Table13[Days To Maturity]=AZ$3),MATCH($AY91,Table13[Date_d],0),8)</f>
        <v>27.72</v>
      </c>
      <c r="BA91" s="78">
        <f t="array" ref="BA91">INDEX(_xlfn._xlws.FILTER(Table13[],Table13[Days To Maturity]=BA$3),MATCH($AY91,Table13[Date_d],0),8)</f>
        <v>23.85</v>
      </c>
      <c r="BB91" s="78">
        <f t="array" ref="BB91">INDEX(_xlfn._xlws.FILTER(Table13[],Table13[Days To Maturity]=BB$3),MATCH($AY91,Table13[Date_d],0),8)</f>
        <v>8.18</v>
      </c>
    </row>
    <row r="92" spans="1:54" x14ac:dyDescent="0.2">
      <c r="A92" s="34">
        <v>43474</v>
      </c>
      <c r="B92" s="35" t="s">
        <v>131</v>
      </c>
      <c r="C92" s="35">
        <v>91</v>
      </c>
      <c r="D92" s="35" t="s">
        <v>20</v>
      </c>
      <c r="E92" s="38" t="s">
        <v>54</v>
      </c>
      <c r="F92" s="38" t="s">
        <v>54</v>
      </c>
      <c r="G92" s="38" t="s">
        <v>54</v>
      </c>
      <c r="H92" s="39" t="s">
        <v>54</v>
      </c>
      <c r="I92" s="39" t="s">
        <v>54</v>
      </c>
      <c r="J92" s="32">
        <f t="array" ref="J9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43564</v>
      </c>
      <c r="K92" s="59">
        <f>IFERROR(Table13[[#This Row],[Bid Accepted]]*(Table13[[#This Row],[WAYR Current]]%/364*Table13[[#This Row],[Days To Maturity]]),0)</f>
        <v>0</v>
      </c>
      <c r="L92" s="41" t="e">
        <f>+Table13[[#This Row],[Bid Accepted]]-Table13[[#This Row],[Amount Offered]]</f>
        <v>#VALUE!</v>
      </c>
      <c r="M92" s="57" t="e">
        <f>+IF(Table13[[#This Row],[WAYR Last]]&gt;0,IF(Table13[[#This Row],[WAYR Current]]&gt;0,(Table13[[#This Row],[WAYR Current]]-Table13[[#This Row],[WAYR Last]]),""),"")</f>
        <v>#VALUE!</v>
      </c>
      <c r="N92" s="23"/>
      <c r="P92" s="67"/>
      <c r="Q92" s="67"/>
      <c r="R92" s="67"/>
      <c r="T92" s="67"/>
      <c r="U92" s="5"/>
      <c r="AH92" s="13">
        <v>43733</v>
      </c>
      <c r="AI92" s="78">
        <v>20000</v>
      </c>
      <c r="AJ92" s="78">
        <v>49649</v>
      </c>
      <c r="AK92" s="78">
        <v>20000</v>
      </c>
      <c r="AL92" s="78">
        <v>29649</v>
      </c>
      <c r="AM92" s="78">
        <v>0</v>
      </c>
      <c r="AN92" s="78">
        <v>8.41</v>
      </c>
      <c r="AO92" s="77">
        <v>0</v>
      </c>
      <c r="AP92" s="77"/>
      <c r="AQ92" s="15"/>
      <c r="AR92" s="13">
        <v>44083</v>
      </c>
      <c r="AS92" s="16">
        <v>1.5551999999999999</v>
      </c>
      <c r="AT92" s="17">
        <v>2.1524166666666669</v>
      </c>
      <c r="AU92" s="17">
        <v>1.4277777777777778</v>
      </c>
      <c r="AV92" s="64">
        <v>1.677025</v>
      </c>
      <c r="AX92" s="78"/>
      <c r="AY92" s="13">
        <v>43733</v>
      </c>
      <c r="AZ92" s="78">
        <f t="array" ref="AZ92">INDEX(_xlfn._xlws.FILTER(Table13[],Table13[Days To Maturity]=AZ$3),MATCH($AY92,Table13[Date_d],0),8)</f>
        <v>30.51</v>
      </c>
      <c r="BA92" s="78">
        <f t="array" ref="BA92">INDEX(_xlfn._xlws.FILTER(Table13[],Table13[Days To Maturity]=BA$3),MATCH($AY92,Table13[Date_d],0),8)</f>
        <v>24.22</v>
      </c>
      <c r="BB92" s="78">
        <f t="array" ref="BB92">INDEX(_xlfn._xlws.FILTER(Table13[],Table13[Days To Maturity]=BB$3),MATCH($AY92,Table13[Date_d],0),8)</f>
        <v>8.17</v>
      </c>
    </row>
    <row r="93" spans="1:54" x14ac:dyDescent="0.2">
      <c r="A93" s="9">
        <v>43474</v>
      </c>
      <c r="B93" s="10" t="s">
        <v>132</v>
      </c>
      <c r="C93" s="10">
        <v>182</v>
      </c>
      <c r="D93" s="10" t="s">
        <v>20</v>
      </c>
      <c r="E93" s="18">
        <v>8000</v>
      </c>
      <c r="F93" s="18">
        <v>13950</v>
      </c>
      <c r="G93" s="18">
        <v>2450</v>
      </c>
      <c r="H93" s="37">
        <v>9.94</v>
      </c>
      <c r="I93" s="37">
        <v>9.9499999999999993</v>
      </c>
      <c r="J93" s="32">
        <f t="array" ref="J9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43655</v>
      </c>
      <c r="K93" s="59">
        <f>IFERROR(Table13[[#This Row],[Bid Accepted]]*(Table13[[#This Row],[WAYR Current]]%/364*Table13[[#This Row],[Days To Maturity]]),0)</f>
        <v>121.76499999999999</v>
      </c>
      <c r="L93" s="41">
        <f>+Table13[[#This Row],[Bid Accepted]]-Table13[[#This Row],[Amount Offered]]</f>
        <v>-5550</v>
      </c>
      <c r="M93" s="57">
        <f>+IF(Table13[[#This Row],[WAYR Last]]&gt;0,IF(Table13[[#This Row],[WAYR Current]]&gt;0,(Table13[[#This Row],[WAYR Current]]-Table13[[#This Row],[WAYR Last]]),""),"")</f>
        <v>-9.9999999999997868E-3</v>
      </c>
      <c r="N93" s="23"/>
      <c r="P93" s="67"/>
      <c r="Q93" s="67"/>
      <c r="R93" s="67"/>
      <c r="T93" s="67"/>
      <c r="U93" s="5"/>
      <c r="AH93" s="13">
        <v>43740</v>
      </c>
      <c r="AI93" s="78">
        <v>12000</v>
      </c>
      <c r="AJ93" s="78">
        <v>38918</v>
      </c>
      <c r="AK93" s="78">
        <v>12000</v>
      </c>
      <c r="AL93" s="78">
        <v>26918</v>
      </c>
      <c r="AM93" s="78">
        <v>0</v>
      </c>
      <c r="AN93" s="78">
        <v>8.41</v>
      </c>
      <c r="AO93" s="77">
        <v>0</v>
      </c>
      <c r="AP93" s="77"/>
      <c r="AQ93" s="15"/>
      <c r="AR93" s="13">
        <v>44090</v>
      </c>
      <c r="AS93" s="16">
        <v>1.925</v>
      </c>
      <c r="AT93" s="17">
        <v>1.7433571428571428</v>
      </c>
      <c r="AU93" s="17">
        <v>1.0455555555555556</v>
      </c>
      <c r="AV93" s="64">
        <v>1.4656750000000001</v>
      </c>
      <c r="AX93" s="78"/>
      <c r="AY93" s="13">
        <v>43740</v>
      </c>
      <c r="AZ93" s="78">
        <f t="array" ref="AZ93">INDEX(_xlfn._xlws.FILTER(Table13[],Table13[Days To Maturity]=AZ$3),MATCH($AY93,Table13[Date_d],0),8)</f>
        <v>32.71</v>
      </c>
      <c r="BA93" s="78">
        <f t="array" ref="BA93">INDEX(_xlfn._xlws.FILTER(Table13[],Table13[Days To Maturity]=BA$3),MATCH($AY93,Table13[Date_d],0),8)</f>
        <v>21.9</v>
      </c>
      <c r="BB93" s="78">
        <f t="array" ref="BB93">INDEX(_xlfn._xlws.FILTER(Table13[],Table13[Days To Maturity]=BB$3),MATCH($AY93,Table13[Date_d],0),8)</f>
        <v>8.02</v>
      </c>
    </row>
    <row r="94" spans="1:54" x14ac:dyDescent="0.2">
      <c r="A94" s="9">
        <v>43474</v>
      </c>
      <c r="B94" s="10" t="s">
        <v>133</v>
      </c>
      <c r="C94" s="10">
        <v>364</v>
      </c>
      <c r="D94" s="10" t="s">
        <v>20</v>
      </c>
      <c r="E94" s="18">
        <v>12000</v>
      </c>
      <c r="F94" s="18">
        <v>41888</v>
      </c>
      <c r="G94" s="18">
        <v>17550</v>
      </c>
      <c r="H94" s="37">
        <v>10.85</v>
      </c>
      <c r="I94" s="37">
        <v>10.99</v>
      </c>
      <c r="J94" s="32">
        <f t="array" ref="J9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43839</v>
      </c>
      <c r="K94" s="59">
        <f>IFERROR(Table13[[#This Row],[Bid Accepted]]*(Table13[[#This Row],[WAYR Current]]%/364*Table13[[#This Row],[Days To Maturity]]),0)</f>
        <v>1904.1750000000002</v>
      </c>
      <c r="L94" s="41">
        <f>+Table13[[#This Row],[Bid Accepted]]-Table13[[#This Row],[Amount Offered]]</f>
        <v>5550</v>
      </c>
      <c r="M94" s="57">
        <f>+IF(Table13[[#This Row],[WAYR Last]]&gt;0,IF(Table13[[#This Row],[WAYR Current]]&gt;0,(Table13[[#This Row],[WAYR Current]]-Table13[[#This Row],[WAYR Last]]),""),"")</f>
        <v>-0.14000000000000057</v>
      </c>
      <c r="N94" s="23"/>
      <c r="P94" s="67"/>
      <c r="Q94" s="67"/>
      <c r="R94" s="67"/>
      <c r="T94" s="67"/>
      <c r="U94" s="5"/>
      <c r="AH94" s="13">
        <v>43747</v>
      </c>
      <c r="AI94" s="78">
        <v>21500</v>
      </c>
      <c r="AJ94" s="78">
        <v>49967</v>
      </c>
      <c r="AK94" s="78">
        <v>21500</v>
      </c>
      <c r="AL94" s="78">
        <v>28467</v>
      </c>
      <c r="AM94" s="78">
        <v>0</v>
      </c>
      <c r="AN94" s="78">
        <v>8.41</v>
      </c>
      <c r="AO94" s="77">
        <v>0</v>
      </c>
      <c r="AP94" s="77"/>
      <c r="AQ94" s="15"/>
      <c r="AR94" s="13">
        <v>44097</v>
      </c>
      <c r="AS94" s="16">
        <v>1.3444444444444446</v>
      </c>
      <c r="AT94" s="17">
        <v>1.4</v>
      </c>
      <c r="AU94" s="17">
        <v>1.2070000000000001</v>
      </c>
      <c r="AV94" s="64">
        <v>1.3103</v>
      </c>
      <c r="AX94" s="78"/>
      <c r="AY94" s="13">
        <v>43747</v>
      </c>
      <c r="AZ94" s="78">
        <f t="array" ref="AZ94">INDEX(_xlfn._xlws.FILTER(Table13[],Table13[Days To Maturity]=AZ$3),MATCH($AY94,Table13[Date_d],0),8)</f>
        <v>32.340000000000003</v>
      </c>
      <c r="BA94" s="78">
        <f t="array" ref="BA94">INDEX(_xlfn._xlws.FILTER(Table13[],Table13[Days To Maturity]=BA$3),MATCH($AY94,Table13[Date_d],0),8)</f>
        <v>28.74</v>
      </c>
      <c r="BB94" s="78">
        <f t="array" ref="BB94">INDEX(_xlfn._xlws.FILTER(Table13[],Table13[Days To Maturity]=BB$3),MATCH($AY94,Table13[Date_d],0),8)</f>
        <v>8.44</v>
      </c>
    </row>
    <row r="95" spans="1:54" x14ac:dyDescent="0.2">
      <c r="A95" s="9">
        <v>43481</v>
      </c>
      <c r="B95" s="10" t="s">
        <v>134</v>
      </c>
      <c r="C95" s="10">
        <v>91</v>
      </c>
      <c r="D95" s="10" t="s">
        <v>20</v>
      </c>
      <c r="E95" s="18" t="s">
        <v>54</v>
      </c>
      <c r="F95" s="18" t="s">
        <v>54</v>
      </c>
      <c r="G95" s="18" t="s">
        <v>54</v>
      </c>
      <c r="H95" s="37" t="s">
        <v>54</v>
      </c>
      <c r="I95" s="37" t="s">
        <v>54</v>
      </c>
      <c r="J95" s="32">
        <f t="array" ref="J9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43571</v>
      </c>
      <c r="K95" s="59">
        <f>IFERROR(Table13[[#This Row],[Bid Accepted]]*(Table13[[#This Row],[WAYR Current]]%/364*Table13[[#This Row],[Days To Maturity]]),0)</f>
        <v>0</v>
      </c>
      <c r="L95" s="41" t="e">
        <f>+Table13[[#This Row],[Bid Accepted]]-Table13[[#This Row],[Amount Offered]]</f>
        <v>#VALUE!</v>
      </c>
      <c r="M95" s="57" t="e">
        <f>+IF(Table13[[#This Row],[WAYR Last]]&gt;0,IF(Table13[[#This Row],[WAYR Current]]&gt;0,(Table13[[#This Row],[WAYR Current]]-Table13[[#This Row],[WAYR Last]]),""),"")</f>
        <v>#VALUE!</v>
      </c>
      <c r="N95" s="23"/>
      <c r="P95" s="67"/>
      <c r="Q95" s="67"/>
      <c r="R95" s="67"/>
      <c r="T95" s="67"/>
      <c r="U95" s="5"/>
      <c r="AH95" s="13">
        <v>43754</v>
      </c>
      <c r="AI95" s="78">
        <v>22000</v>
      </c>
      <c r="AJ95" s="78">
        <v>56910</v>
      </c>
      <c r="AK95" s="78">
        <v>22000</v>
      </c>
      <c r="AL95" s="78">
        <v>34910</v>
      </c>
      <c r="AM95" s="78">
        <v>0</v>
      </c>
      <c r="AN95" s="78">
        <v>8.35</v>
      </c>
      <c r="AO95" s="77">
        <v>0</v>
      </c>
      <c r="AP95" s="77"/>
      <c r="AQ95" s="15"/>
      <c r="AR95" s="13">
        <v>44103</v>
      </c>
      <c r="AS95" s="16">
        <v>1</v>
      </c>
      <c r="AT95" s="17">
        <v>1.0191874999999999</v>
      </c>
      <c r="AU95" s="17">
        <v>1.0305</v>
      </c>
      <c r="AV95" s="64">
        <v>1.0198750000000001</v>
      </c>
      <c r="AX95" s="78"/>
      <c r="AY95" s="13">
        <v>43754</v>
      </c>
      <c r="AZ95" s="78">
        <f t="array" ref="AZ95">INDEX(_xlfn._xlws.FILTER(Table13[],Table13[Days To Maturity]=AZ$3),MATCH($AY95,Table13[Date_d],0),8)</f>
        <v>33.049999999999997</v>
      </c>
      <c r="BA95" s="78">
        <f t="array" ref="BA95">INDEX(_xlfn._xlws.FILTER(Table13[],Table13[Days To Maturity]=BA$3),MATCH($AY95,Table13[Date_d],0),8)</f>
        <v>29.24</v>
      </c>
      <c r="BB95" s="78">
        <f t="array" ref="BB95">INDEX(_xlfn._xlws.FILTER(Table13[],Table13[Days To Maturity]=BB$3),MATCH($AY95,Table13[Date_d],0),8)</f>
        <v>0</v>
      </c>
    </row>
    <row r="96" spans="1:54" x14ac:dyDescent="0.2">
      <c r="A96" s="34">
        <v>43481</v>
      </c>
      <c r="B96" s="35" t="s">
        <v>135</v>
      </c>
      <c r="C96" s="35">
        <v>182</v>
      </c>
      <c r="D96" s="35" t="s">
        <v>20</v>
      </c>
      <c r="E96" s="38">
        <v>10000</v>
      </c>
      <c r="F96" s="38">
        <v>19212</v>
      </c>
      <c r="G96" s="38">
        <v>10000</v>
      </c>
      <c r="H96" s="39">
        <v>9.8699999999999992</v>
      </c>
      <c r="I96" s="39">
        <v>9.94</v>
      </c>
      <c r="J96" s="32">
        <f t="array" ref="J9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43662</v>
      </c>
      <c r="K96" s="59">
        <f>IFERROR(Table13[[#This Row],[Bid Accepted]]*(Table13[[#This Row],[WAYR Current]]%/364*Table13[[#This Row],[Days To Maturity]]),0)</f>
        <v>493.5</v>
      </c>
      <c r="L96" s="41">
        <f>+Table13[[#This Row],[Bid Accepted]]-Table13[[#This Row],[Amount Offered]]</f>
        <v>0</v>
      </c>
      <c r="M96" s="57">
        <f>+IF(Table13[[#This Row],[WAYR Last]]&gt;0,IF(Table13[[#This Row],[WAYR Current]]&gt;0,(Table13[[#This Row],[WAYR Current]]-Table13[[#This Row],[WAYR Last]]),""),"")</f>
        <v>-7.0000000000000284E-2</v>
      </c>
      <c r="N96" s="23"/>
      <c r="P96" s="67"/>
      <c r="Q96" s="67"/>
      <c r="R96" s="67"/>
      <c r="T96" s="67"/>
      <c r="U96" s="5"/>
      <c r="AH96" s="13">
        <v>43761</v>
      </c>
      <c r="AI96" s="78">
        <v>22000</v>
      </c>
      <c r="AJ96" s="78">
        <v>48812</v>
      </c>
      <c r="AK96" s="78">
        <v>22000</v>
      </c>
      <c r="AL96" s="78">
        <v>26812</v>
      </c>
      <c r="AM96" s="78">
        <v>0</v>
      </c>
      <c r="AN96" s="78">
        <v>8.34</v>
      </c>
      <c r="AO96" s="77">
        <v>0</v>
      </c>
      <c r="AP96" s="77"/>
      <c r="AQ96" s="15"/>
      <c r="AR96" s="13">
        <v>44111</v>
      </c>
      <c r="AS96" s="16">
        <v>1</v>
      </c>
      <c r="AT96" s="17">
        <v>1.1000000000000001</v>
      </c>
      <c r="AU96" s="17">
        <v>1.2298285714285715</v>
      </c>
      <c r="AV96" s="64">
        <v>1.13805</v>
      </c>
      <c r="AX96" s="78"/>
      <c r="AY96" s="13">
        <v>43761</v>
      </c>
      <c r="AZ96" s="78" t="e">
        <f t="array" ref="AZ96">INDEX(_xlfn._xlws.FILTER(Table13[],Table13[Days To Maturity]=AZ$3),MATCH($AY96,Table13[Date_d],0),8)</f>
        <v>#REF!</v>
      </c>
      <c r="BA96" s="78">
        <f t="array" ref="BA96">INDEX(_xlfn._xlws.FILTER(Table13[],Table13[Days To Maturity]=BA$3),MATCH($AY96,Table13[Date_d],0),8)</f>
        <v>28.96</v>
      </c>
      <c r="BB96" s="78">
        <f t="array" ref="BB96">INDEX(_xlfn._xlws.FILTER(Table13[],Table13[Days To Maturity]=BB$3),MATCH($AY96,Table13[Date_d],0),8)</f>
        <v>8.5299999999999994</v>
      </c>
    </row>
    <row r="97" spans="1:54" x14ac:dyDescent="0.2">
      <c r="A97" s="34">
        <v>43481</v>
      </c>
      <c r="B97" s="35" t="s">
        <v>136</v>
      </c>
      <c r="C97" s="35">
        <v>364</v>
      </c>
      <c r="D97" s="35" t="s">
        <v>20</v>
      </c>
      <c r="E97" s="38">
        <v>16000</v>
      </c>
      <c r="F97" s="38">
        <v>50539</v>
      </c>
      <c r="G97" s="38">
        <v>16000</v>
      </c>
      <c r="H97" s="39">
        <v>10.75</v>
      </c>
      <c r="I97" s="39">
        <v>10.85</v>
      </c>
      <c r="J97" s="32">
        <f t="array" ref="J9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43846</v>
      </c>
      <c r="K97" s="59">
        <f>IFERROR(Table13[[#This Row],[Bid Accepted]]*(Table13[[#This Row],[WAYR Current]]%/364*Table13[[#This Row],[Days To Maturity]]),0)</f>
        <v>1720</v>
      </c>
      <c r="L97" s="41">
        <f>+Table13[[#This Row],[Bid Accepted]]-Table13[[#This Row],[Amount Offered]]</f>
        <v>0</v>
      </c>
      <c r="M97" s="57">
        <f>+IF(Table13[[#This Row],[WAYR Last]]&gt;0,IF(Table13[[#This Row],[WAYR Current]]&gt;0,(Table13[[#This Row],[WAYR Current]]-Table13[[#This Row],[WAYR Last]]),""),"")</f>
        <v>-9.9999999999999645E-2</v>
      </c>
      <c r="N97" s="23"/>
      <c r="P97" s="67"/>
      <c r="Q97" s="67"/>
      <c r="R97" s="67"/>
      <c r="T97" s="67"/>
      <c r="U97" s="5"/>
      <c r="AH97" s="13">
        <v>43768</v>
      </c>
      <c r="AI97" s="78">
        <v>16000</v>
      </c>
      <c r="AJ97" s="78">
        <v>34035</v>
      </c>
      <c r="AK97" s="78">
        <v>16000</v>
      </c>
      <c r="AL97" s="78">
        <v>18035</v>
      </c>
      <c r="AM97" s="78">
        <v>0</v>
      </c>
      <c r="AN97" s="78">
        <v>8.35</v>
      </c>
      <c r="AO97" s="77">
        <v>0</v>
      </c>
      <c r="AP97" s="77"/>
      <c r="AQ97" s="15"/>
      <c r="AR97" s="13">
        <v>44118</v>
      </c>
      <c r="AS97" s="16">
        <v>1</v>
      </c>
      <c r="AT97" s="17">
        <v>1.6543333333333334</v>
      </c>
      <c r="AU97" s="17">
        <v>2.8393125000000001</v>
      </c>
      <c r="AV97" s="64">
        <v>1.9811000000000001</v>
      </c>
      <c r="AX97" s="78"/>
      <c r="AY97" s="13">
        <v>43768</v>
      </c>
      <c r="AZ97" s="78" t="e">
        <f t="array" ref="AZ97">INDEX(_xlfn._xlws.FILTER(Table13[],Table13[Days To Maturity]=AZ$3),MATCH($AY97,Table13[Date_d],0),8)</f>
        <v>#REF!</v>
      </c>
      <c r="BA97" s="78">
        <f t="array" ref="BA97">INDEX(_xlfn._xlws.FILTER(Table13[],Table13[Days To Maturity]=BA$3),MATCH($AY97,Table13[Date_d],0),8)</f>
        <v>31.28</v>
      </c>
      <c r="BB97" s="78">
        <f t="array" ref="BB97">INDEX(_xlfn._xlws.FILTER(Table13[],Table13[Days To Maturity]=BB$3),MATCH($AY97,Table13[Date_d],0),8)</f>
        <v>11.15</v>
      </c>
    </row>
    <row r="98" spans="1:54" x14ac:dyDescent="0.2">
      <c r="A98" s="34">
        <v>43488</v>
      </c>
      <c r="B98" s="35" t="s">
        <v>137</v>
      </c>
      <c r="C98" s="35">
        <v>91</v>
      </c>
      <c r="D98" s="35" t="s">
        <v>20</v>
      </c>
      <c r="E98" s="38" t="s">
        <v>54</v>
      </c>
      <c r="F98" s="38" t="s">
        <v>54</v>
      </c>
      <c r="G98" s="38" t="s">
        <v>54</v>
      </c>
      <c r="H98" s="39" t="s">
        <v>54</v>
      </c>
      <c r="I98" s="39" t="s">
        <v>54</v>
      </c>
      <c r="J98" s="32">
        <f t="array" ref="J9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43578</v>
      </c>
      <c r="K98" s="59">
        <f>IFERROR(Table13[[#This Row],[Bid Accepted]]*(Table13[[#This Row],[WAYR Current]]%/364*Table13[[#This Row],[Days To Maturity]]),0)</f>
        <v>0</v>
      </c>
      <c r="L98" s="41" t="e">
        <f>+Table13[[#This Row],[Bid Accepted]]-Table13[[#This Row],[Amount Offered]]</f>
        <v>#VALUE!</v>
      </c>
      <c r="M98" s="57" t="e">
        <f>+IF(Table13[[#This Row],[WAYR Last]]&gt;0,IF(Table13[[#This Row],[WAYR Current]]&gt;0,(Table13[[#This Row],[WAYR Current]]-Table13[[#This Row],[WAYR Last]]),""),"")</f>
        <v>#VALUE!</v>
      </c>
      <c r="N98" s="23"/>
      <c r="P98" s="67"/>
      <c r="Q98" s="67"/>
      <c r="R98" s="67"/>
      <c r="T98" s="67"/>
      <c r="U98" s="5"/>
      <c r="V98" s="5"/>
      <c r="AG98" s="78"/>
      <c r="AH98" s="13">
        <v>43775</v>
      </c>
      <c r="AI98" s="78">
        <v>20000</v>
      </c>
      <c r="AJ98" s="78">
        <v>37122</v>
      </c>
      <c r="AK98" s="78">
        <v>20000</v>
      </c>
      <c r="AL98" s="78">
        <v>17122</v>
      </c>
      <c r="AM98" s="78">
        <v>0</v>
      </c>
      <c r="AN98" s="78">
        <v>8.41</v>
      </c>
      <c r="AO98" s="77">
        <v>0</v>
      </c>
      <c r="AP98" s="77"/>
      <c r="AR98" s="13">
        <v>44125</v>
      </c>
      <c r="AS98" s="5">
        <v>1.125</v>
      </c>
      <c r="AT98" s="78">
        <v>1.3201666666666667</v>
      </c>
      <c r="AU98" s="78">
        <v>3.0347777777777778</v>
      </c>
      <c r="AV98" s="64">
        <v>2.072225</v>
      </c>
      <c r="AX98" s="78"/>
      <c r="AY98" s="13">
        <v>43775</v>
      </c>
      <c r="AZ98" s="78" t="e">
        <f t="array" ref="AZ98">INDEX(_xlfn._xlws.FILTER(Table13[],Table13[Days To Maturity]=AZ$3),MATCH($AY98,Table13[Date_d],0),8)</f>
        <v>#REF!</v>
      </c>
      <c r="BA98" s="78">
        <f t="array" ref="BA98">INDEX(_xlfn._xlws.FILTER(Table13[],Table13[Days To Maturity]=BA$3),MATCH($AY98,Table13[Date_d],0),8)</f>
        <v>30.59</v>
      </c>
      <c r="BB98" s="78">
        <f t="array" ref="BB98">INDEX(_xlfn._xlws.FILTER(Table13[],Table13[Days To Maturity]=BB$3),MATCH($AY98,Table13[Date_d],0),8)</f>
        <v>15.69</v>
      </c>
    </row>
    <row r="99" spans="1:54" x14ac:dyDescent="0.2">
      <c r="A99" s="9">
        <v>43488</v>
      </c>
      <c r="B99" s="10" t="s">
        <v>138</v>
      </c>
      <c r="C99" s="10">
        <v>182</v>
      </c>
      <c r="D99" s="10" t="s">
        <v>20</v>
      </c>
      <c r="E99" s="18">
        <v>5000</v>
      </c>
      <c r="F99" s="18">
        <v>7562</v>
      </c>
      <c r="G99" s="18">
        <v>2550</v>
      </c>
      <c r="H99" s="37">
        <v>9.8699999999999992</v>
      </c>
      <c r="I99" s="37">
        <v>9.8699999999999992</v>
      </c>
      <c r="J99" s="32">
        <f t="array" ref="J9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43669</v>
      </c>
      <c r="K99" s="59">
        <f>IFERROR(Table13[[#This Row],[Bid Accepted]]*(Table13[[#This Row],[WAYR Current]]%/364*Table13[[#This Row],[Days To Maturity]]),0)</f>
        <v>125.8425</v>
      </c>
      <c r="L99" s="41">
        <f>+Table13[[#This Row],[Bid Accepted]]-Table13[[#This Row],[Amount Offered]]</f>
        <v>-2450</v>
      </c>
      <c r="M99" s="57">
        <f>+IF(Table13[[#This Row],[WAYR Last]]&gt;0,IF(Table13[[#This Row],[WAYR Current]]&gt;0,(Table13[[#This Row],[WAYR Current]]-Table13[[#This Row],[WAYR Last]]),""),"")</f>
        <v>0</v>
      </c>
      <c r="N99" s="23"/>
      <c r="P99" s="67"/>
      <c r="Q99" s="67"/>
      <c r="R99" s="67"/>
      <c r="S99" s="67"/>
      <c r="T99" s="67"/>
      <c r="U99" s="5"/>
      <c r="V99" s="5"/>
      <c r="AG99" s="78"/>
      <c r="AH99" s="13">
        <v>43782</v>
      </c>
      <c r="AI99" s="78">
        <v>20000</v>
      </c>
      <c r="AJ99" s="78">
        <v>32048</v>
      </c>
      <c r="AK99" s="78">
        <v>18244</v>
      </c>
      <c r="AL99" s="78">
        <v>12048</v>
      </c>
      <c r="AM99" s="78">
        <v>-1756</v>
      </c>
      <c r="AN99" s="78">
        <v>8.51</v>
      </c>
      <c r="AO99" s="77">
        <v>-8.7800000000000003E-2</v>
      </c>
      <c r="AP99" s="77"/>
      <c r="AR99" s="13">
        <v>44131</v>
      </c>
      <c r="AS99" s="5">
        <v>1.0666666666666667</v>
      </c>
      <c r="AT99" s="78">
        <v>1.2567999999999999</v>
      </c>
      <c r="AU99" s="78">
        <v>1.9534285714285715</v>
      </c>
      <c r="AV99" s="64">
        <v>1.525925</v>
      </c>
      <c r="AX99" s="78"/>
      <c r="AY99" s="13">
        <v>43782</v>
      </c>
      <c r="AZ99" s="78" t="e">
        <f t="array" ref="AZ99">INDEX(_xlfn._xlws.FILTER(Table13[],Table13[Days To Maturity]=AZ$3),MATCH($AY99,Table13[Date_d],0),8)</f>
        <v>#REF!</v>
      </c>
      <c r="BA99" s="78">
        <f t="array" ref="BA99">INDEX(_xlfn._xlws.FILTER(Table13[],Table13[Days To Maturity]=BA$3),MATCH($AY99,Table13[Date_d],0),8)</f>
        <v>32.53</v>
      </c>
      <c r="BB99" s="78">
        <f t="array" ref="BB99">INDEX(_xlfn._xlws.FILTER(Table13[],Table13[Days To Maturity]=BB$3),MATCH($AY99,Table13[Date_d],0),8)</f>
        <v>24.09</v>
      </c>
    </row>
    <row r="100" spans="1:54" x14ac:dyDescent="0.2">
      <c r="A100" s="9">
        <v>43488</v>
      </c>
      <c r="B100" s="10" t="s">
        <v>139</v>
      </c>
      <c r="C100" s="10">
        <v>364</v>
      </c>
      <c r="D100" s="10" t="s">
        <v>20</v>
      </c>
      <c r="E100" s="18">
        <v>18500</v>
      </c>
      <c r="F100" s="18">
        <v>50680</v>
      </c>
      <c r="G100" s="18">
        <v>20950</v>
      </c>
      <c r="H100" s="37">
        <v>10.7</v>
      </c>
      <c r="I100" s="37">
        <v>10.75</v>
      </c>
      <c r="J100" s="32">
        <f t="array" ref="J10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43853</v>
      </c>
      <c r="K100" s="59">
        <f>IFERROR(Table13[[#This Row],[Bid Accepted]]*(Table13[[#This Row],[WAYR Current]]%/364*Table13[[#This Row],[Days To Maturity]]),0)</f>
        <v>2241.65</v>
      </c>
      <c r="L100" s="41">
        <f>+Table13[[#This Row],[Bid Accepted]]-Table13[[#This Row],[Amount Offered]]</f>
        <v>2450</v>
      </c>
      <c r="M100" s="57">
        <f>+IF(Table13[[#This Row],[WAYR Last]]&gt;0,IF(Table13[[#This Row],[WAYR Current]]&gt;0,(Table13[[#This Row],[WAYR Current]]-Table13[[#This Row],[WAYR Last]]),""),"")</f>
        <v>-5.0000000000000711E-2</v>
      </c>
      <c r="N100" s="23"/>
      <c r="P100" s="67"/>
      <c r="Q100" s="67"/>
      <c r="R100" s="67"/>
      <c r="S100" s="67"/>
      <c r="T100" s="67"/>
      <c r="U100" s="5"/>
      <c r="V100" s="5"/>
      <c r="AG100" s="78"/>
      <c r="AH100" s="13">
        <v>43789</v>
      </c>
      <c r="AI100" s="78">
        <v>19000</v>
      </c>
      <c r="AJ100" s="78">
        <v>78135</v>
      </c>
      <c r="AK100" s="78">
        <v>19000</v>
      </c>
      <c r="AL100" s="78">
        <v>59135</v>
      </c>
      <c r="AM100" s="78">
        <v>0</v>
      </c>
      <c r="AN100" s="78">
        <v>8.2200000000000006</v>
      </c>
      <c r="AO100" s="77">
        <v>0</v>
      </c>
      <c r="AP100" s="77"/>
      <c r="AR100" s="13">
        <v>44139</v>
      </c>
      <c r="AS100" s="5">
        <v>1.1174999999999999</v>
      </c>
      <c r="AT100" s="78">
        <v>1.1583749999999999</v>
      </c>
      <c r="AU100" s="78">
        <v>1.5042777777777778</v>
      </c>
      <c r="AV100" s="64">
        <v>1.3079000000000001</v>
      </c>
      <c r="AX100" s="78"/>
      <c r="AY100" s="13">
        <v>43789</v>
      </c>
      <c r="AZ100" s="78" t="e">
        <f t="array" ref="AZ100">INDEX(_xlfn._xlws.FILTER(Table13[],Table13[Days To Maturity]=AZ$3),MATCH($AY100,Table13[Date_d],0),8)</f>
        <v>#REF!</v>
      </c>
      <c r="BA100" s="78" t="e">
        <f t="array" ref="BA100">INDEX(_xlfn._xlws.FILTER(Table13[],Table13[Days To Maturity]=BA$3),MATCH($AY100,Table13[Date_d],0),8)</f>
        <v>#REF!</v>
      </c>
      <c r="BB100" s="78">
        <f t="array" ref="BB100">INDEX(_xlfn._xlws.FILTER(Table13[],Table13[Days To Maturity]=BB$3),MATCH($AY100,Table13[Date_d],0),8)</f>
        <v>24.5</v>
      </c>
    </row>
    <row r="101" spans="1:54" x14ac:dyDescent="0.2">
      <c r="A101" s="9">
        <v>43495</v>
      </c>
      <c r="B101" s="10" t="s">
        <v>140</v>
      </c>
      <c r="C101" s="10">
        <v>91</v>
      </c>
      <c r="D101" s="10" t="s">
        <v>20</v>
      </c>
      <c r="E101" s="18" t="s">
        <v>54</v>
      </c>
      <c r="F101" s="18" t="s">
        <v>54</v>
      </c>
      <c r="G101" s="18" t="s">
        <v>54</v>
      </c>
      <c r="H101" s="37" t="s">
        <v>54</v>
      </c>
      <c r="I101" s="37" t="s">
        <v>54</v>
      </c>
      <c r="J101" s="32">
        <f t="array" ref="J10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43585</v>
      </c>
      <c r="K101" s="59">
        <f>IFERROR(Table13[[#This Row],[Bid Accepted]]*(Table13[[#This Row],[WAYR Current]]%/364*Table13[[#This Row],[Days To Maturity]]),0)</f>
        <v>0</v>
      </c>
      <c r="L101" s="41" t="e">
        <f>+Table13[[#This Row],[Bid Accepted]]-Table13[[#This Row],[Amount Offered]]</f>
        <v>#VALUE!</v>
      </c>
      <c r="M101" s="57" t="e">
        <f>+IF(Table13[[#This Row],[WAYR Last]]&gt;0,IF(Table13[[#This Row],[WAYR Current]]&gt;0,(Table13[[#This Row],[WAYR Current]]-Table13[[#This Row],[WAYR Last]]),""),"")</f>
        <v>#VALUE!</v>
      </c>
      <c r="N101" s="23"/>
      <c r="P101" s="67"/>
      <c r="Q101" s="67"/>
      <c r="R101" s="67"/>
      <c r="S101" s="67"/>
      <c r="T101" s="67"/>
      <c r="U101" s="5"/>
      <c r="V101" s="5"/>
      <c r="AG101" s="78"/>
      <c r="AH101" s="13">
        <v>43796</v>
      </c>
      <c r="AI101" s="78">
        <v>28000</v>
      </c>
      <c r="AJ101" s="78">
        <v>61767</v>
      </c>
      <c r="AK101" s="78">
        <v>28000</v>
      </c>
      <c r="AL101" s="78">
        <v>33767</v>
      </c>
      <c r="AM101" s="78">
        <v>0</v>
      </c>
      <c r="AN101" s="78">
        <v>8.2899999999999991</v>
      </c>
      <c r="AO101" s="77">
        <v>0</v>
      </c>
      <c r="AP101" s="77"/>
      <c r="AR101" s="13">
        <v>44146</v>
      </c>
      <c r="AS101" s="5">
        <v>1.6879999999999999</v>
      </c>
      <c r="AT101" s="78">
        <v>1.0822727272727273</v>
      </c>
      <c r="AU101" s="78">
        <v>1.0135416666666666</v>
      </c>
      <c r="AV101" s="64">
        <v>1.1167499999999999</v>
      </c>
      <c r="AX101" s="78"/>
      <c r="AY101" s="13">
        <v>43796</v>
      </c>
      <c r="AZ101" s="78" t="e">
        <f t="array" ref="AZ101">INDEX(_xlfn._xlws.FILTER(Table13[],Table13[Days To Maturity]=AZ$3),MATCH($AY101,Table13[Date_d],0),8)</f>
        <v>#REF!</v>
      </c>
      <c r="BA101" s="78" t="e">
        <f t="array" ref="BA101">INDEX(_xlfn._xlws.FILTER(Table13[],Table13[Days To Maturity]=BA$3),MATCH($AY101,Table13[Date_d],0),8)</f>
        <v>#REF!</v>
      </c>
      <c r="BB101" s="78">
        <f t="array" ref="BB101">INDEX(_xlfn._xlws.FILTER(Table13[],Table13[Days To Maturity]=BB$3),MATCH($AY101,Table13[Date_d],0),8)</f>
        <v>23.13</v>
      </c>
    </row>
    <row r="102" spans="1:54" x14ac:dyDescent="0.2">
      <c r="A102" s="34">
        <v>43495</v>
      </c>
      <c r="B102" s="35" t="s">
        <v>141</v>
      </c>
      <c r="C102" s="35">
        <v>182</v>
      </c>
      <c r="D102" s="35" t="s">
        <v>20</v>
      </c>
      <c r="E102" s="38">
        <v>5000</v>
      </c>
      <c r="F102" s="38">
        <v>6750</v>
      </c>
      <c r="G102" s="38" t="s">
        <v>54</v>
      </c>
      <c r="H102" s="39" t="s">
        <v>54</v>
      </c>
      <c r="I102" s="39">
        <v>9.8699999999999992</v>
      </c>
      <c r="J102" s="32">
        <f t="array" ref="J10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43676</v>
      </c>
      <c r="K102" s="59">
        <f>IFERROR(Table13[[#This Row],[Bid Accepted]]*(Table13[[#This Row],[WAYR Current]]%/364*Table13[[#This Row],[Days To Maturity]]),0)</f>
        <v>0</v>
      </c>
      <c r="L102" s="41" t="e">
        <f>+Table13[[#This Row],[Bid Accepted]]-Table13[[#This Row],[Amount Offered]]</f>
        <v>#VALUE!</v>
      </c>
      <c r="M102" s="57" t="e">
        <f>+IF(Table13[[#This Row],[WAYR Last]]&gt;0,IF(Table13[[#This Row],[WAYR Current]]&gt;0,(Table13[[#This Row],[WAYR Current]]-Table13[[#This Row],[WAYR Last]]),""),"")</f>
        <v>#VALUE!</v>
      </c>
      <c r="N102" s="23"/>
      <c r="P102" s="67"/>
      <c r="Q102" s="67"/>
      <c r="R102" s="67"/>
      <c r="S102" s="67"/>
      <c r="T102" s="67"/>
      <c r="U102" s="5"/>
      <c r="V102" s="5"/>
      <c r="AG102" s="78"/>
      <c r="AH102" s="13">
        <v>43803</v>
      </c>
      <c r="AI102" s="78">
        <v>23500</v>
      </c>
      <c r="AJ102" s="78">
        <v>55110</v>
      </c>
      <c r="AK102" s="78">
        <v>23500</v>
      </c>
      <c r="AL102" s="78">
        <v>31610</v>
      </c>
      <c r="AM102" s="78">
        <v>0</v>
      </c>
      <c r="AN102" s="78">
        <v>8.2200000000000006</v>
      </c>
      <c r="AO102" s="77">
        <v>0</v>
      </c>
      <c r="AP102" s="77"/>
      <c r="AR102" s="13">
        <v>44153</v>
      </c>
      <c r="AS102" s="5">
        <v>1.04125</v>
      </c>
      <c r="AT102" s="78">
        <v>1.1076923076923078</v>
      </c>
      <c r="AU102" s="78">
        <v>1.0565789473684211</v>
      </c>
      <c r="AV102" s="64">
        <v>1.070125</v>
      </c>
      <c r="AX102" s="78"/>
      <c r="AY102" s="13">
        <v>43803</v>
      </c>
      <c r="AZ102" s="78" t="e">
        <f t="array" ref="AZ102">INDEX(_xlfn._xlws.FILTER(Table13[],Table13[Days To Maturity]=AZ$3),MATCH($AY102,Table13[Date_d],0),8)</f>
        <v>#REF!</v>
      </c>
      <c r="BA102" s="78" t="e">
        <f t="array" ref="BA102">INDEX(_xlfn._xlws.FILTER(Table13[],Table13[Days To Maturity]=BA$3),MATCH($AY102,Table13[Date_d],0),8)</f>
        <v>#REF!</v>
      </c>
      <c r="BB102" s="78">
        <f t="array" ref="BB102">INDEX(_xlfn._xlws.FILTER(Table13[],Table13[Days To Maturity]=BB$3),MATCH($AY102,Table13[Date_d],0),8)</f>
        <v>23.84</v>
      </c>
    </row>
    <row r="103" spans="1:54" x14ac:dyDescent="0.2">
      <c r="A103" s="34">
        <v>43495</v>
      </c>
      <c r="B103" s="35" t="s">
        <v>142</v>
      </c>
      <c r="C103" s="35">
        <v>364</v>
      </c>
      <c r="D103" s="35" t="s">
        <v>20</v>
      </c>
      <c r="E103" s="38">
        <v>16000</v>
      </c>
      <c r="F103" s="38">
        <v>52435</v>
      </c>
      <c r="G103" s="38">
        <v>21000</v>
      </c>
      <c r="H103" s="39">
        <v>10.69</v>
      </c>
      <c r="I103" s="39">
        <v>10.7</v>
      </c>
      <c r="J103" s="32">
        <f t="array" ref="J10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43860</v>
      </c>
      <c r="K103" s="59">
        <f>IFERROR(Table13[[#This Row],[Bid Accepted]]*(Table13[[#This Row],[WAYR Current]]%/364*Table13[[#This Row],[Days To Maturity]]),0)</f>
        <v>2244.8999999999996</v>
      </c>
      <c r="L103" s="41">
        <f>+Table13[[#This Row],[Bid Accepted]]-Table13[[#This Row],[Amount Offered]]</f>
        <v>5000</v>
      </c>
      <c r="M103" s="57">
        <f>+IF(Table13[[#This Row],[WAYR Last]]&gt;0,IF(Table13[[#This Row],[WAYR Current]]&gt;0,(Table13[[#This Row],[WAYR Current]]-Table13[[#This Row],[WAYR Last]]),""),"")</f>
        <v>-9.9999999999997868E-3</v>
      </c>
      <c r="N103" s="23"/>
      <c r="P103" s="67"/>
      <c r="Q103" s="67"/>
      <c r="R103" s="67"/>
      <c r="S103" s="67"/>
      <c r="T103" s="67"/>
      <c r="U103" s="5"/>
      <c r="V103" s="5"/>
      <c r="AG103" s="78"/>
      <c r="AH103" s="13">
        <v>43809</v>
      </c>
      <c r="AI103" s="78">
        <v>27000</v>
      </c>
      <c r="AJ103" s="78">
        <v>51996</v>
      </c>
      <c r="AK103" s="78">
        <v>27000</v>
      </c>
      <c r="AL103" s="78">
        <v>24996</v>
      </c>
      <c r="AM103" s="78">
        <v>0</v>
      </c>
      <c r="AN103" s="78">
        <v>8.23</v>
      </c>
      <c r="AO103" s="77">
        <v>0</v>
      </c>
      <c r="AP103" s="77"/>
      <c r="AR103" s="13">
        <v>44160</v>
      </c>
      <c r="AS103" s="5">
        <v>2.6720000000000002</v>
      </c>
      <c r="AT103" s="78">
        <v>1.8120300751879699</v>
      </c>
      <c r="AU103" s="78">
        <v>1.4761276595744681</v>
      </c>
      <c r="AV103" s="64">
        <v>1.6658778625954198</v>
      </c>
      <c r="AX103" s="78"/>
      <c r="AY103" s="13">
        <v>43809</v>
      </c>
      <c r="AZ103" s="78" t="e">
        <f t="array" ref="AZ103">INDEX(_xlfn._xlws.FILTER(Table13[],Table13[Days To Maturity]=AZ$3),MATCH($AY103,Table13[Date_d],0),8)</f>
        <v>#REF!</v>
      </c>
      <c r="BA103" s="78" t="e">
        <f t="array" ref="BA103">INDEX(_xlfn._xlws.FILTER(Table13[],Table13[Days To Maturity]=BA$3),MATCH($AY103,Table13[Date_d],0),8)</f>
        <v>#REF!</v>
      </c>
      <c r="BB103" s="78">
        <f t="array" ref="BB103">INDEX(_xlfn._xlws.FILTER(Table13[],Table13[Days To Maturity]=BB$3),MATCH($AY103,Table13[Date_d],0),8)</f>
        <v>29.82</v>
      </c>
    </row>
    <row r="104" spans="1:54" x14ac:dyDescent="0.2">
      <c r="A104" s="34">
        <v>43502</v>
      </c>
      <c r="B104" s="35" t="s">
        <v>143</v>
      </c>
      <c r="C104" s="35">
        <v>91</v>
      </c>
      <c r="D104" s="35" t="s">
        <v>20</v>
      </c>
      <c r="E104" s="38">
        <v>2000</v>
      </c>
      <c r="F104" s="38">
        <v>3276</v>
      </c>
      <c r="G104" s="38">
        <v>1851</v>
      </c>
      <c r="H104" s="39">
        <v>9.5500000000000007</v>
      </c>
      <c r="I104" s="39" t="s">
        <v>54</v>
      </c>
      <c r="J104" s="32">
        <f t="array" ref="J10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43591</v>
      </c>
      <c r="K104" s="59">
        <f>IFERROR(Table13[[#This Row],[Bid Accepted]]*(Table13[[#This Row],[WAYR Current]]%/364*Table13[[#This Row],[Days To Maturity]]),0)</f>
        <v>44.192625</v>
      </c>
      <c r="L104" s="41">
        <f>+Table13[[#This Row],[Bid Accepted]]-Table13[[#This Row],[Amount Offered]]</f>
        <v>-149</v>
      </c>
      <c r="M104" s="57" t="e">
        <f>+IF(Table13[[#This Row],[WAYR Last]]&gt;0,IF(Table13[[#This Row],[WAYR Current]]&gt;0,(Table13[[#This Row],[WAYR Current]]-Table13[[#This Row],[WAYR Last]]),""),"")</f>
        <v>#VALUE!</v>
      </c>
      <c r="N104" s="23"/>
      <c r="P104" s="67"/>
      <c r="Q104" s="67"/>
      <c r="R104" s="67"/>
      <c r="S104" s="67"/>
      <c r="T104" s="67"/>
      <c r="U104" s="5"/>
      <c r="V104" s="5"/>
      <c r="AG104" s="78"/>
      <c r="AH104" s="13">
        <v>43817</v>
      </c>
      <c r="AI104" s="78">
        <v>25000</v>
      </c>
      <c r="AJ104" s="78">
        <v>40827</v>
      </c>
      <c r="AK104" s="78">
        <v>18009</v>
      </c>
      <c r="AL104" s="78">
        <v>15827</v>
      </c>
      <c r="AM104" s="78">
        <v>-6991</v>
      </c>
      <c r="AN104" s="78">
        <v>8.4499999999999993</v>
      </c>
      <c r="AO104" s="77">
        <v>-0.27964</v>
      </c>
      <c r="AP104" s="77"/>
      <c r="AR104" s="13">
        <v>44167</v>
      </c>
      <c r="AS104" s="5">
        <v>2.0727272727272728</v>
      </c>
      <c r="AT104" s="78">
        <v>1.7898400000000001</v>
      </c>
      <c r="AU104" s="78">
        <v>1.2951818181818182</v>
      </c>
      <c r="AV104" s="64">
        <v>1.556675</v>
      </c>
      <c r="AX104" s="78"/>
      <c r="AY104" s="13">
        <v>43817</v>
      </c>
      <c r="AZ104" s="78" t="e">
        <f t="array" ref="AZ104">INDEX(_xlfn._xlws.FILTER(Table13[],Table13[Days To Maturity]=AZ$3),MATCH($AY104,Table13[Date_d],0),8)</f>
        <v>#REF!</v>
      </c>
      <c r="BA104" s="78" t="e">
        <f t="array" ref="BA104">INDEX(_xlfn._xlws.FILTER(Table13[],Table13[Days To Maturity]=BA$3),MATCH($AY104,Table13[Date_d],0),8)</f>
        <v>#REF!</v>
      </c>
      <c r="BB104" s="78">
        <f t="array" ref="BB104">INDEX(_xlfn._xlws.FILTER(Table13[],Table13[Days To Maturity]=BB$3),MATCH($AY104,Table13[Date_d],0),8)</f>
        <v>29.15</v>
      </c>
    </row>
    <row r="105" spans="1:54" x14ac:dyDescent="0.2">
      <c r="A105" s="9">
        <v>43502</v>
      </c>
      <c r="B105" s="10" t="s">
        <v>144</v>
      </c>
      <c r="C105" s="10">
        <v>182</v>
      </c>
      <c r="D105" s="10" t="s">
        <v>20</v>
      </c>
      <c r="E105" s="18">
        <v>6000</v>
      </c>
      <c r="F105" s="18">
        <v>7941</v>
      </c>
      <c r="G105" s="18">
        <v>1422</v>
      </c>
      <c r="H105" s="37">
        <v>9.8699999999999992</v>
      </c>
      <c r="I105" s="37" t="s">
        <v>54</v>
      </c>
      <c r="J105" s="32">
        <f t="array" ref="J10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43683</v>
      </c>
      <c r="K105" s="59">
        <f>IFERROR(Table13[[#This Row],[Bid Accepted]]*(Table13[[#This Row],[WAYR Current]]%/364*Table13[[#This Row],[Days To Maturity]]),0)</f>
        <v>70.175699999999992</v>
      </c>
      <c r="L105" s="41">
        <f>+Table13[[#This Row],[Bid Accepted]]-Table13[[#This Row],[Amount Offered]]</f>
        <v>-4578</v>
      </c>
      <c r="M105" s="57" t="e">
        <f>+IF(Table13[[#This Row],[WAYR Last]]&gt;0,IF(Table13[[#This Row],[WAYR Current]]&gt;0,(Table13[[#This Row],[WAYR Current]]-Table13[[#This Row],[WAYR Last]]),""),"")</f>
        <v>#VALUE!</v>
      </c>
      <c r="N105" s="23"/>
      <c r="P105" s="67"/>
      <c r="Q105" s="67"/>
      <c r="R105" s="67"/>
      <c r="S105" s="67"/>
      <c r="T105" s="67"/>
      <c r="U105" s="5"/>
      <c r="V105" s="5"/>
      <c r="AG105" s="78"/>
      <c r="AH105" s="13">
        <v>43823</v>
      </c>
      <c r="AI105" s="78">
        <v>13500</v>
      </c>
      <c r="AJ105" s="78">
        <v>43226</v>
      </c>
      <c r="AK105" s="78">
        <v>13500</v>
      </c>
      <c r="AL105" s="78">
        <v>29726</v>
      </c>
      <c r="AM105" s="78">
        <v>0</v>
      </c>
      <c r="AN105" s="78">
        <v>8.4499999999999993</v>
      </c>
      <c r="AO105" s="77">
        <v>0</v>
      </c>
      <c r="AP105" s="77"/>
      <c r="AR105" s="13">
        <v>44174</v>
      </c>
      <c r="AS105" s="5">
        <v>1.4094117647058824</v>
      </c>
      <c r="AT105" s="78">
        <v>1.0691999999999999</v>
      </c>
      <c r="AU105" s="78">
        <v>1.5103684210526316</v>
      </c>
      <c r="AV105" s="64">
        <v>1.3510500000000001</v>
      </c>
      <c r="AX105" s="78"/>
      <c r="AY105" s="13">
        <v>43823</v>
      </c>
      <c r="AZ105" s="78" t="e">
        <f t="array" ref="AZ105">INDEX(_xlfn._xlws.FILTER(Table13[],Table13[Days To Maturity]=AZ$3),MATCH($AY105,Table13[Date_d],0),8)</f>
        <v>#REF!</v>
      </c>
      <c r="BA105" s="78" t="e">
        <f t="array" ref="BA105">INDEX(_xlfn._xlws.FILTER(Table13[],Table13[Days To Maturity]=BA$3),MATCH($AY105,Table13[Date_d],0),8)</f>
        <v>#REF!</v>
      </c>
      <c r="BB105" s="78">
        <f t="array" ref="BB105">INDEX(_xlfn._xlws.FILTER(Table13[],Table13[Days To Maturity]=BB$3),MATCH($AY105,Table13[Date_d],0),8)</f>
        <v>30.5</v>
      </c>
    </row>
    <row r="106" spans="1:54" x14ac:dyDescent="0.2">
      <c r="A106" s="9">
        <v>43502</v>
      </c>
      <c r="B106" s="10" t="s">
        <v>145</v>
      </c>
      <c r="C106" s="10">
        <v>364</v>
      </c>
      <c r="D106" s="10" t="s">
        <v>20</v>
      </c>
      <c r="E106" s="18">
        <v>16000</v>
      </c>
      <c r="F106" s="18">
        <v>46452</v>
      </c>
      <c r="G106" s="18">
        <v>20727</v>
      </c>
      <c r="H106" s="37">
        <v>10.69</v>
      </c>
      <c r="I106" s="37">
        <v>10.69</v>
      </c>
      <c r="J106" s="32">
        <f t="array" ref="J10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43867</v>
      </c>
      <c r="K106" s="59">
        <f>IFERROR(Table13[[#This Row],[Bid Accepted]]*(Table13[[#This Row],[WAYR Current]]%/364*Table13[[#This Row],[Days To Maturity]]),0)</f>
        <v>2215.7162999999996</v>
      </c>
      <c r="L106" s="41">
        <f>+Table13[[#This Row],[Bid Accepted]]-Table13[[#This Row],[Amount Offered]]</f>
        <v>4727</v>
      </c>
      <c r="M106" s="57">
        <f>+IF(Table13[[#This Row],[WAYR Last]]&gt;0,IF(Table13[[#This Row],[WAYR Current]]&gt;0,(Table13[[#This Row],[WAYR Current]]-Table13[[#This Row],[WAYR Last]]),""),"")</f>
        <v>0</v>
      </c>
      <c r="N106" s="23"/>
      <c r="P106" s="67"/>
      <c r="Q106" s="67"/>
      <c r="R106" s="67"/>
      <c r="S106" s="67"/>
      <c r="T106" s="67"/>
      <c r="U106" s="5"/>
      <c r="V106" s="5"/>
      <c r="AG106" s="78"/>
      <c r="AH106" s="13">
        <v>43831</v>
      </c>
      <c r="AI106" s="78">
        <v>25000</v>
      </c>
      <c r="AJ106" s="78">
        <v>61614</v>
      </c>
      <c r="AK106" s="78">
        <v>25000</v>
      </c>
      <c r="AL106" s="78">
        <v>36614</v>
      </c>
      <c r="AM106" s="78">
        <v>0</v>
      </c>
      <c r="AN106" s="78">
        <v>8.4499999999999993</v>
      </c>
      <c r="AO106" s="77">
        <v>0</v>
      </c>
      <c r="AP106" s="77"/>
      <c r="AR106" s="13">
        <v>44181</v>
      </c>
      <c r="AS106" s="5">
        <v>1.2868333333333333</v>
      </c>
      <c r="AT106" s="78">
        <v>1.173888888888889</v>
      </c>
      <c r="AU106" s="78">
        <v>1.5363157894736843</v>
      </c>
      <c r="AV106" s="64">
        <v>1.3799250000000001</v>
      </c>
      <c r="AX106" s="78"/>
      <c r="AY106" s="13">
        <v>43831</v>
      </c>
      <c r="AZ106" s="78" t="e">
        <f t="array" ref="AZ106">INDEX(_xlfn._xlws.FILTER(Table13[],Table13[Days To Maturity]=AZ$3),MATCH($AY106,Table13[Date_d],0),8)</f>
        <v>#REF!</v>
      </c>
      <c r="BA106" s="78" t="e">
        <f t="array" ref="BA106">INDEX(_xlfn._xlws.FILTER(Table13[],Table13[Days To Maturity]=BA$3),MATCH($AY106,Table13[Date_d],0),8)</f>
        <v>#REF!</v>
      </c>
      <c r="BB106" s="78">
        <f t="array" ref="BB106">INDEX(_xlfn._xlws.FILTER(Table13[],Table13[Days To Maturity]=BB$3),MATCH($AY106,Table13[Date_d],0),8)</f>
        <v>29.87</v>
      </c>
    </row>
    <row r="107" spans="1:54" x14ac:dyDescent="0.2">
      <c r="A107" s="9">
        <v>43509</v>
      </c>
      <c r="B107" s="10" t="s">
        <v>146</v>
      </c>
      <c r="C107" s="10">
        <v>91</v>
      </c>
      <c r="D107" s="10" t="s">
        <v>20</v>
      </c>
      <c r="E107" s="18">
        <v>3500</v>
      </c>
      <c r="F107" s="18">
        <v>4850</v>
      </c>
      <c r="G107" s="18" t="s">
        <v>54</v>
      </c>
      <c r="H107" s="37" t="s">
        <v>54</v>
      </c>
      <c r="I107" s="37">
        <v>9.5500000000000007</v>
      </c>
      <c r="J107" s="32">
        <f t="array" ref="J10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43598</v>
      </c>
      <c r="K107" s="59">
        <f>IFERROR(Table13[[#This Row],[Bid Accepted]]*(Table13[[#This Row],[WAYR Current]]%/364*Table13[[#This Row],[Days To Maturity]]),0)</f>
        <v>0</v>
      </c>
      <c r="L107" s="41" t="e">
        <f>+Table13[[#This Row],[Bid Accepted]]-Table13[[#This Row],[Amount Offered]]</f>
        <v>#VALUE!</v>
      </c>
      <c r="M107" s="57" t="e">
        <f>+IF(Table13[[#This Row],[WAYR Last]]&gt;0,IF(Table13[[#This Row],[WAYR Current]]&gt;0,(Table13[[#This Row],[WAYR Current]]-Table13[[#This Row],[WAYR Last]]),""),"")</f>
        <v>#VALUE!</v>
      </c>
      <c r="N107" s="23"/>
      <c r="P107" s="67"/>
      <c r="Q107" s="67"/>
      <c r="R107" s="67"/>
      <c r="S107" s="67"/>
      <c r="T107" s="67"/>
      <c r="U107" s="5"/>
      <c r="V107" s="5"/>
      <c r="AG107" s="78"/>
      <c r="AH107" s="13">
        <v>43837</v>
      </c>
      <c r="AI107" s="78">
        <v>25000</v>
      </c>
      <c r="AJ107" s="78">
        <v>47832</v>
      </c>
      <c r="AK107" s="78">
        <v>25000</v>
      </c>
      <c r="AL107" s="78">
        <v>22832</v>
      </c>
      <c r="AM107" s="78">
        <v>0</v>
      </c>
      <c r="AN107" s="78">
        <v>8.52</v>
      </c>
      <c r="AO107" s="77">
        <v>0</v>
      </c>
      <c r="AP107" s="77"/>
      <c r="AR107" s="13">
        <v>44187</v>
      </c>
      <c r="AS107" s="5">
        <v>1.1432222222222221</v>
      </c>
      <c r="AT107" s="78">
        <v>1.8833333333333333</v>
      </c>
      <c r="AU107" s="78">
        <v>1.2254736842105263</v>
      </c>
      <c r="AV107" s="64">
        <v>1.404325</v>
      </c>
      <c r="AX107" s="78"/>
      <c r="AY107" s="13">
        <v>43837</v>
      </c>
      <c r="AZ107" s="78" t="e">
        <f t="array" ref="AZ107">INDEX(_xlfn._xlws.FILTER(Table13[],Table13[Days To Maturity]=AZ$3),MATCH($AY107,Table13[Date_d],0),8)</f>
        <v>#REF!</v>
      </c>
      <c r="BA107" s="78" t="e">
        <f t="array" ref="BA107">INDEX(_xlfn._xlws.FILTER(Table13[],Table13[Days To Maturity]=BA$3),MATCH($AY107,Table13[Date_d],0),8)</f>
        <v>#REF!</v>
      </c>
      <c r="BB107" s="78">
        <f t="array" ref="BB107">INDEX(_xlfn._xlws.FILTER(Table13[],Table13[Days To Maturity]=BB$3),MATCH($AY107,Table13[Date_d],0),8)</f>
        <v>29.6</v>
      </c>
    </row>
    <row r="108" spans="1:54" x14ac:dyDescent="0.2">
      <c r="A108" s="34">
        <v>43509</v>
      </c>
      <c r="B108" s="35" t="s">
        <v>147</v>
      </c>
      <c r="C108" s="35">
        <v>182</v>
      </c>
      <c r="D108" s="35" t="s">
        <v>20</v>
      </c>
      <c r="E108" s="38">
        <v>3500</v>
      </c>
      <c r="F108" s="38">
        <v>4750</v>
      </c>
      <c r="G108" s="38" t="s">
        <v>54</v>
      </c>
      <c r="H108" s="39" t="s">
        <v>54</v>
      </c>
      <c r="I108" s="39">
        <v>9.8699999999999992</v>
      </c>
      <c r="J108" s="32">
        <f t="array" ref="J10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43690</v>
      </c>
      <c r="K108" s="59">
        <f>IFERROR(Table13[[#This Row],[Bid Accepted]]*(Table13[[#This Row],[WAYR Current]]%/364*Table13[[#This Row],[Days To Maturity]]),0)</f>
        <v>0</v>
      </c>
      <c r="L108" s="41" t="e">
        <f>+Table13[[#This Row],[Bid Accepted]]-Table13[[#This Row],[Amount Offered]]</f>
        <v>#VALUE!</v>
      </c>
      <c r="M108" s="57" t="e">
        <f>+IF(Table13[[#This Row],[WAYR Last]]&gt;0,IF(Table13[[#This Row],[WAYR Current]]&gt;0,(Table13[[#This Row],[WAYR Current]]-Table13[[#This Row],[WAYR Last]]),""),"")</f>
        <v>#VALUE!</v>
      </c>
      <c r="N108" s="23"/>
      <c r="P108" s="67"/>
      <c r="Q108" s="67"/>
      <c r="R108" s="67"/>
      <c r="S108" s="67"/>
      <c r="T108" s="67"/>
      <c r="U108" s="5"/>
      <c r="V108" s="5"/>
      <c r="AG108" s="78"/>
      <c r="AH108" s="13">
        <v>43844</v>
      </c>
      <c r="AI108" s="78">
        <v>25000</v>
      </c>
      <c r="AJ108" s="78">
        <v>55756</v>
      </c>
      <c r="AK108" s="78">
        <v>25000</v>
      </c>
      <c r="AL108" s="78">
        <v>30756</v>
      </c>
      <c r="AM108" s="78">
        <v>0</v>
      </c>
      <c r="AN108" s="78">
        <v>8.58</v>
      </c>
      <c r="AO108" s="77">
        <v>0</v>
      </c>
      <c r="AP108" s="77"/>
      <c r="AR108" s="13">
        <v>44195</v>
      </c>
      <c r="AS108" s="5">
        <v>1.0015000000000001</v>
      </c>
      <c r="AT108" s="78">
        <v>1.5529999999999999</v>
      </c>
      <c r="AU108" s="78">
        <v>1.3803157894736842</v>
      </c>
      <c r="AV108" s="64">
        <v>1.3331</v>
      </c>
      <c r="AX108" s="78"/>
      <c r="AY108" s="13">
        <v>43844</v>
      </c>
      <c r="AZ108" s="78" t="e">
        <f t="array" ref="AZ108">INDEX(_xlfn._xlws.FILTER(Table13[],Table13[Days To Maturity]=AZ$3),MATCH($AY108,Table13[Date_d],0),8)</f>
        <v>#REF!</v>
      </c>
      <c r="BA108" s="78" t="e">
        <f t="array" ref="BA108">INDEX(_xlfn._xlws.FILTER(Table13[],Table13[Days To Maturity]=BA$3),MATCH($AY108,Table13[Date_d],0),8)</f>
        <v>#REF!</v>
      </c>
      <c r="BB108" s="78">
        <f t="array" ref="BB108">INDEX(_xlfn._xlws.FILTER(Table13[],Table13[Days To Maturity]=BB$3),MATCH($AY108,Table13[Date_d],0),8)</f>
        <v>29.57</v>
      </c>
    </row>
    <row r="109" spans="1:54" x14ac:dyDescent="0.2">
      <c r="A109" s="34">
        <v>43509</v>
      </c>
      <c r="B109" s="35" t="s">
        <v>148</v>
      </c>
      <c r="C109" s="35">
        <v>364</v>
      </c>
      <c r="D109" s="35" t="s">
        <v>20</v>
      </c>
      <c r="E109" s="38">
        <v>14000</v>
      </c>
      <c r="F109" s="38">
        <v>43677</v>
      </c>
      <c r="G109" s="38">
        <v>21000</v>
      </c>
      <c r="H109" s="39">
        <v>10.72</v>
      </c>
      <c r="I109" s="39">
        <v>10.69</v>
      </c>
      <c r="J109" s="32">
        <f t="array" ref="J10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43874</v>
      </c>
      <c r="K109" s="59">
        <f>IFERROR(Table13[[#This Row],[Bid Accepted]]*(Table13[[#This Row],[WAYR Current]]%/364*Table13[[#This Row],[Days To Maturity]]),0)</f>
        <v>2251.2000000000003</v>
      </c>
      <c r="L109" s="41">
        <f>+Table13[[#This Row],[Bid Accepted]]-Table13[[#This Row],[Amount Offered]]</f>
        <v>7000</v>
      </c>
      <c r="M109" s="57">
        <f>+IF(Table13[[#This Row],[WAYR Last]]&gt;0,IF(Table13[[#This Row],[WAYR Current]]&gt;0,(Table13[[#This Row],[WAYR Current]]-Table13[[#This Row],[WAYR Last]]),""),"")</f>
        <v>3.0000000000001137E-2</v>
      </c>
      <c r="N109" s="23"/>
      <c r="P109" s="67"/>
      <c r="Q109" s="67"/>
      <c r="R109" s="67"/>
      <c r="S109" s="67"/>
      <c r="T109" s="67"/>
      <c r="U109" s="5"/>
      <c r="V109" s="5"/>
      <c r="AG109" s="5"/>
      <c r="AH109" s="13">
        <v>43852</v>
      </c>
      <c r="AI109" s="78">
        <v>25500</v>
      </c>
      <c r="AJ109" s="78">
        <v>62543</v>
      </c>
      <c r="AK109" s="78">
        <v>25500</v>
      </c>
      <c r="AL109" s="78">
        <v>37043</v>
      </c>
      <c r="AM109" s="78">
        <v>0</v>
      </c>
      <c r="AN109" s="78">
        <v>8.61</v>
      </c>
      <c r="AO109" s="77">
        <v>0</v>
      </c>
      <c r="AP109" s="77"/>
      <c r="AR109" s="5">
        <v>44202</v>
      </c>
      <c r="AS109" s="5">
        <v>2.1301999999999999</v>
      </c>
      <c r="AT109" s="78">
        <v>5.0608000000000004</v>
      </c>
      <c r="AU109" s="78">
        <v>1.5887199999999999</v>
      </c>
      <c r="AV109" s="64">
        <v>2.1581000000000001</v>
      </c>
      <c r="AX109" s="78"/>
      <c r="AY109" s="13">
        <v>43852</v>
      </c>
      <c r="AZ109" s="78" t="e">
        <f t="array" ref="AZ109">INDEX(_xlfn._xlws.FILTER(Table13[],Table13[Days To Maturity]=AZ$3),MATCH($AY109,Table13[Date_d],0),8)</f>
        <v>#REF!</v>
      </c>
      <c r="BA109" s="78" t="e">
        <f t="array" ref="BA109">INDEX(_xlfn._xlws.FILTER(Table13[],Table13[Days To Maturity]=BA$3),MATCH($AY109,Table13[Date_d],0),8)</f>
        <v>#REF!</v>
      </c>
      <c r="BB109" s="78" t="e">
        <f t="array" ref="BB109">INDEX(_xlfn._xlws.FILTER(Table13[],Table13[Days To Maturity]=BB$3),MATCH($AY109,Table13[Date_d],0),8)</f>
        <v>#REF!</v>
      </c>
    </row>
    <row r="110" spans="1:54" x14ac:dyDescent="0.2">
      <c r="A110" s="34">
        <v>43516</v>
      </c>
      <c r="B110" s="35" t="s">
        <v>149</v>
      </c>
      <c r="C110" s="35">
        <v>91</v>
      </c>
      <c r="D110" s="35" t="s">
        <v>20</v>
      </c>
      <c r="E110" s="38">
        <v>6000</v>
      </c>
      <c r="F110" s="38">
        <v>7600</v>
      </c>
      <c r="G110" s="38" t="s">
        <v>54</v>
      </c>
      <c r="H110" s="39" t="s">
        <v>54</v>
      </c>
      <c r="I110" s="39" t="s">
        <v>54</v>
      </c>
      <c r="J110" s="32">
        <f t="array" ref="J11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43605</v>
      </c>
      <c r="K110" s="59">
        <f>IFERROR(Table13[[#This Row],[Bid Accepted]]*(Table13[[#This Row],[WAYR Current]]%/364*Table13[[#This Row],[Days To Maturity]]),0)</f>
        <v>0</v>
      </c>
      <c r="L110" s="41" t="e">
        <f>+Table13[[#This Row],[Bid Accepted]]-Table13[[#This Row],[Amount Offered]]</f>
        <v>#VALUE!</v>
      </c>
      <c r="M110" s="57" t="e">
        <f>+IF(Table13[[#This Row],[WAYR Last]]&gt;0,IF(Table13[[#This Row],[WAYR Current]]&gt;0,(Table13[[#This Row],[WAYR Current]]-Table13[[#This Row],[WAYR Last]]),""),"")</f>
        <v>#VALUE!</v>
      </c>
      <c r="N110" s="23"/>
      <c r="P110" s="67"/>
      <c r="Q110" s="67"/>
      <c r="R110" s="67"/>
      <c r="S110" s="67"/>
      <c r="T110" s="67"/>
      <c r="U110" s="5"/>
      <c r="V110" s="5"/>
      <c r="AG110" s="5"/>
      <c r="AH110" s="13">
        <v>43859</v>
      </c>
      <c r="AI110" s="78">
        <v>26500</v>
      </c>
      <c r="AJ110" s="78">
        <v>85402</v>
      </c>
      <c r="AK110" s="78">
        <v>26500</v>
      </c>
      <c r="AL110" s="78">
        <v>58902</v>
      </c>
      <c r="AM110" s="78">
        <v>0</v>
      </c>
      <c r="AN110" s="78">
        <v>8.59</v>
      </c>
      <c r="AO110" s="77">
        <v>0</v>
      </c>
      <c r="AP110" s="77"/>
      <c r="AR110" s="5">
        <v>44208</v>
      </c>
      <c r="AS110" s="5">
        <v>1.9121600000000001</v>
      </c>
      <c r="AT110" s="78">
        <v>3.8388</v>
      </c>
      <c r="AU110" s="78">
        <v>2.84</v>
      </c>
      <c r="AV110" s="64">
        <v>2.6749000000000001</v>
      </c>
      <c r="AX110" s="78"/>
      <c r="AY110" s="13">
        <v>43859</v>
      </c>
      <c r="AZ110" s="78" t="e">
        <f t="array" ref="AZ110">INDEX(_xlfn._xlws.FILTER(Table13[],Table13[Days To Maturity]=AZ$3),MATCH($AY110,Table13[Date_d],0),8)</f>
        <v>#REF!</v>
      </c>
      <c r="BA110" s="78" t="e">
        <f t="array" ref="BA110">INDEX(_xlfn._xlws.FILTER(Table13[],Table13[Days To Maturity]=BA$3),MATCH($AY110,Table13[Date_d],0),8)</f>
        <v>#REF!</v>
      </c>
      <c r="BB110" s="78" t="e">
        <f t="array" ref="BB110">INDEX(_xlfn._xlws.FILTER(Table13[],Table13[Days To Maturity]=BB$3),MATCH($AY110,Table13[Date_d],0),8)</f>
        <v>#REF!</v>
      </c>
    </row>
    <row r="111" spans="1:54" x14ac:dyDescent="0.2">
      <c r="A111" s="9">
        <v>43516</v>
      </c>
      <c r="B111" s="10" t="s">
        <v>150</v>
      </c>
      <c r="C111" s="10">
        <v>182</v>
      </c>
      <c r="D111" s="10" t="s">
        <v>20</v>
      </c>
      <c r="E111" s="18">
        <v>6000</v>
      </c>
      <c r="F111" s="18">
        <v>8100</v>
      </c>
      <c r="G111" s="18">
        <v>2091</v>
      </c>
      <c r="H111" s="37">
        <v>9.8699999999999992</v>
      </c>
      <c r="I111" s="37" t="s">
        <v>54</v>
      </c>
      <c r="J111" s="32">
        <f t="array" ref="J11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43697</v>
      </c>
      <c r="K111" s="59">
        <f>IFERROR(Table13[[#This Row],[Bid Accepted]]*(Table13[[#This Row],[WAYR Current]]%/364*Table13[[#This Row],[Days To Maturity]]),0)</f>
        <v>103.19085</v>
      </c>
      <c r="L111" s="41">
        <f>+Table13[[#This Row],[Bid Accepted]]-Table13[[#This Row],[Amount Offered]]</f>
        <v>-3909</v>
      </c>
      <c r="M111" s="57" t="e">
        <f>+IF(Table13[[#This Row],[WAYR Last]]&gt;0,IF(Table13[[#This Row],[WAYR Current]]&gt;0,(Table13[[#This Row],[WAYR Current]]-Table13[[#This Row],[WAYR Last]]),""),"")</f>
        <v>#VALUE!</v>
      </c>
      <c r="N111" s="23"/>
      <c r="P111" s="67"/>
      <c r="Q111" s="67"/>
      <c r="R111" s="67"/>
      <c r="S111" s="67"/>
      <c r="T111" s="67"/>
      <c r="U111" s="5"/>
      <c r="V111" s="5"/>
      <c r="AG111" s="5"/>
      <c r="AH111" s="13">
        <v>43866</v>
      </c>
      <c r="AI111" s="78">
        <v>30000</v>
      </c>
      <c r="AJ111" s="78">
        <v>91608</v>
      </c>
      <c r="AK111" s="78">
        <v>30000</v>
      </c>
      <c r="AL111" s="78">
        <v>61608</v>
      </c>
      <c r="AM111" s="78">
        <v>0</v>
      </c>
      <c r="AN111" s="78">
        <v>8.42</v>
      </c>
      <c r="AO111" s="77">
        <v>0</v>
      </c>
      <c r="AP111" s="77"/>
      <c r="AR111" s="5">
        <v>44216</v>
      </c>
      <c r="AS111" s="5">
        <v>2.1611666666666665</v>
      </c>
      <c r="AT111" s="78">
        <v>3.3197999999999999</v>
      </c>
      <c r="AU111" s="78">
        <v>1.9434782608695653</v>
      </c>
      <c r="AV111" s="64">
        <v>2.180825</v>
      </c>
      <c r="AX111" s="78"/>
      <c r="AY111" s="13">
        <v>43866</v>
      </c>
      <c r="AZ111" s="78" t="e">
        <f t="array" ref="AZ111">INDEX(_xlfn._xlws.FILTER(Table13[],Table13[Days To Maturity]=AZ$3),MATCH($AY111,Table13[Date_d],0),8)</f>
        <v>#REF!</v>
      </c>
      <c r="BA111" s="78" t="e">
        <f t="array" ref="BA111">INDEX(_xlfn._xlws.FILTER(Table13[],Table13[Days To Maturity]=BA$3),MATCH($AY111,Table13[Date_d],0),8)</f>
        <v>#REF!</v>
      </c>
      <c r="BB111" s="78" t="e">
        <f t="array" ref="BB111">INDEX(_xlfn._xlws.FILTER(Table13[],Table13[Days To Maturity]=BB$3),MATCH($AY111,Table13[Date_d],0),8)</f>
        <v>#REF!</v>
      </c>
    </row>
    <row r="112" spans="1:54" x14ac:dyDescent="0.2">
      <c r="A112" s="9">
        <v>43516</v>
      </c>
      <c r="B112" s="10" t="s">
        <v>151</v>
      </c>
      <c r="C112" s="10">
        <v>364</v>
      </c>
      <c r="D112" s="10" t="s">
        <v>20</v>
      </c>
      <c r="E112" s="18">
        <v>10500</v>
      </c>
      <c r="F112" s="18">
        <v>44501</v>
      </c>
      <c r="G112" s="18">
        <v>20409</v>
      </c>
      <c r="H112" s="37">
        <v>10.73</v>
      </c>
      <c r="I112" s="37">
        <v>10.72</v>
      </c>
      <c r="J112" s="32">
        <f t="array" ref="J11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43881</v>
      </c>
      <c r="K112" s="59">
        <f>IFERROR(Table13[[#This Row],[Bid Accepted]]*(Table13[[#This Row],[WAYR Current]]%/364*Table13[[#This Row],[Days To Maturity]]),0)</f>
        <v>2189.8857000000003</v>
      </c>
      <c r="L112" s="41">
        <f>+Table13[[#This Row],[Bid Accepted]]-Table13[[#This Row],[Amount Offered]]</f>
        <v>9909</v>
      </c>
      <c r="M112" s="57">
        <f>+IF(Table13[[#This Row],[WAYR Last]]&gt;0,IF(Table13[[#This Row],[WAYR Current]]&gt;0,(Table13[[#This Row],[WAYR Current]]-Table13[[#This Row],[WAYR Last]]),""),"")</f>
        <v>9.9999999999997868E-3</v>
      </c>
      <c r="N112" s="23"/>
      <c r="P112" s="67"/>
      <c r="Q112" s="67"/>
      <c r="R112" s="67"/>
      <c r="S112" s="67"/>
      <c r="T112" s="67"/>
      <c r="U112" s="5"/>
      <c r="V112" s="5"/>
      <c r="AG112" s="5"/>
      <c r="AH112" s="13">
        <v>43873</v>
      </c>
      <c r="AI112" s="78">
        <v>29500</v>
      </c>
      <c r="AJ112" s="78">
        <v>76061</v>
      </c>
      <c r="AK112" s="78">
        <v>29500</v>
      </c>
      <c r="AL112" s="78">
        <v>46561</v>
      </c>
      <c r="AM112" s="78">
        <v>0</v>
      </c>
      <c r="AN112" s="78">
        <v>8.5500000000000007</v>
      </c>
      <c r="AO112" s="77">
        <v>0</v>
      </c>
      <c r="AP112" s="77"/>
      <c r="AR112" s="5">
        <v>44222</v>
      </c>
      <c r="AS112" s="5">
        <v>1.2868181818181819</v>
      </c>
      <c r="AT112" s="78">
        <v>1.9690000000000001</v>
      </c>
      <c r="AU112" s="78">
        <v>1.2505200000000001</v>
      </c>
      <c r="AV112" s="64">
        <v>1.3323499999999999</v>
      </c>
      <c r="AX112" s="78"/>
      <c r="AY112" s="13">
        <v>43873</v>
      </c>
      <c r="AZ112" s="78" t="e">
        <f t="array" ref="AZ112">INDEX(_xlfn._xlws.FILTER(Table13[],Table13[Days To Maturity]=AZ$3),MATCH($AY112,Table13[Date_d],0),8)</f>
        <v>#REF!</v>
      </c>
      <c r="BA112" s="78" t="e">
        <f t="array" ref="BA112">INDEX(_xlfn._xlws.FILTER(Table13[],Table13[Days To Maturity]=BA$3),MATCH($AY112,Table13[Date_d],0),8)</f>
        <v>#REF!</v>
      </c>
      <c r="BB112" s="78" t="e">
        <f t="array" ref="BB112">INDEX(_xlfn._xlws.FILTER(Table13[],Table13[Days To Maturity]=BB$3),MATCH($AY112,Table13[Date_d],0),8)</f>
        <v>#REF!</v>
      </c>
    </row>
    <row r="113" spans="1:54" x14ac:dyDescent="0.2">
      <c r="A113" s="9">
        <v>43523</v>
      </c>
      <c r="B113" s="10" t="s">
        <v>152</v>
      </c>
      <c r="C113" s="10">
        <v>91</v>
      </c>
      <c r="D113" s="10" t="s">
        <v>20</v>
      </c>
      <c r="E113" s="18">
        <v>3000</v>
      </c>
      <c r="F113" s="18">
        <v>3765</v>
      </c>
      <c r="G113" s="18" t="s">
        <v>54</v>
      </c>
      <c r="H113" s="37" t="s">
        <v>54</v>
      </c>
      <c r="I113" s="37" t="s">
        <v>54</v>
      </c>
      <c r="J113" s="32">
        <f t="array" ref="J11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43612</v>
      </c>
      <c r="K113" s="59">
        <f>IFERROR(Table13[[#This Row],[Bid Accepted]]*(Table13[[#This Row],[WAYR Current]]%/364*Table13[[#This Row],[Days To Maturity]]),0)</f>
        <v>0</v>
      </c>
      <c r="L113" s="41" t="e">
        <f>+Table13[[#This Row],[Bid Accepted]]-Table13[[#This Row],[Amount Offered]]</f>
        <v>#VALUE!</v>
      </c>
      <c r="M113" s="57" t="e">
        <f>+IF(Table13[[#This Row],[WAYR Last]]&gt;0,IF(Table13[[#This Row],[WAYR Current]]&gt;0,(Table13[[#This Row],[WAYR Current]]-Table13[[#This Row],[WAYR Last]]),""),"")</f>
        <v>#VALUE!</v>
      </c>
      <c r="N113" s="23"/>
      <c r="P113" s="67"/>
      <c r="Q113" s="67"/>
      <c r="R113" s="67"/>
      <c r="S113" s="67"/>
      <c r="T113" s="67"/>
      <c r="U113" s="5"/>
      <c r="V113" s="5"/>
      <c r="AG113" s="5"/>
      <c r="AH113" s="13">
        <v>43879</v>
      </c>
      <c r="AI113" s="78">
        <v>25000</v>
      </c>
      <c r="AJ113" s="78">
        <v>64354</v>
      </c>
      <c r="AK113" s="78">
        <v>25000</v>
      </c>
      <c r="AL113" s="78">
        <v>39354</v>
      </c>
      <c r="AM113" s="78">
        <v>0</v>
      </c>
      <c r="AN113" s="78">
        <v>8.6</v>
      </c>
      <c r="AO113" s="77">
        <v>0</v>
      </c>
      <c r="AP113" s="77"/>
      <c r="AR113" s="5">
        <v>44229</v>
      </c>
      <c r="AS113" s="5">
        <v>1.4681249999999999</v>
      </c>
      <c r="AT113" s="78">
        <v>1</v>
      </c>
      <c r="AU113" s="78">
        <v>1.3692857142857142</v>
      </c>
      <c r="AV113" s="64">
        <v>1.352125</v>
      </c>
      <c r="AX113" s="78"/>
      <c r="AY113" s="13">
        <v>43879</v>
      </c>
      <c r="AZ113" s="78" t="e">
        <f t="array" ref="AZ113">INDEX(_xlfn._xlws.FILTER(Table13[],Table13[Days To Maturity]=AZ$3),MATCH($AY113,Table13[Date_d],0),8)</f>
        <v>#REF!</v>
      </c>
      <c r="BA113" s="78" t="e">
        <f t="array" ref="BA113">INDEX(_xlfn._xlws.FILTER(Table13[],Table13[Days To Maturity]=BA$3),MATCH($AY113,Table13[Date_d],0),8)</f>
        <v>#REF!</v>
      </c>
      <c r="BB113" s="78" t="e">
        <f t="array" ref="BB113">INDEX(_xlfn._xlws.FILTER(Table13[],Table13[Days To Maturity]=BB$3),MATCH($AY113,Table13[Date_d],0),8)</f>
        <v>#REF!</v>
      </c>
    </row>
    <row r="114" spans="1:54" x14ac:dyDescent="0.2">
      <c r="A114" s="34">
        <v>43523</v>
      </c>
      <c r="B114" s="35" t="s">
        <v>153</v>
      </c>
      <c r="C114" s="35">
        <v>182</v>
      </c>
      <c r="D114" s="35" t="s">
        <v>20</v>
      </c>
      <c r="E114" s="38">
        <v>6000</v>
      </c>
      <c r="F114" s="38">
        <v>9270</v>
      </c>
      <c r="G114" s="38" t="s">
        <v>54</v>
      </c>
      <c r="H114" s="39" t="s">
        <v>54</v>
      </c>
      <c r="I114" s="39">
        <v>9.8699999999999992</v>
      </c>
      <c r="J114" s="32">
        <f t="array" ref="J11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43704</v>
      </c>
      <c r="K114" s="59">
        <f>IFERROR(Table13[[#This Row],[Bid Accepted]]*(Table13[[#This Row],[WAYR Current]]%/364*Table13[[#This Row],[Days To Maturity]]),0)</f>
        <v>0</v>
      </c>
      <c r="L114" s="41" t="e">
        <f>+Table13[[#This Row],[Bid Accepted]]-Table13[[#This Row],[Amount Offered]]</f>
        <v>#VALUE!</v>
      </c>
      <c r="M114" s="57" t="e">
        <f>+IF(Table13[[#This Row],[WAYR Last]]&gt;0,IF(Table13[[#This Row],[WAYR Current]]&gt;0,(Table13[[#This Row],[WAYR Current]]-Table13[[#This Row],[WAYR Last]]),""),"")</f>
        <v>#VALUE!</v>
      </c>
      <c r="N114" s="23"/>
      <c r="P114" s="67"/>
      <c r="Q114" s="67"/>
      <c r="R114" s="67"/>
      <c r="S114" s="67"/>
      <c r="T114" s="67"/>
      <c r="U114" s="5"/>
      <c r="V114" s="5"/>
      <c r="AG114" s="5"/>
      <c r="AH114" s="13">
        <v>43887</v>
      </c>
      <c r="AI114" s="78">
        <v>27000</v>
      </c>
      <c r="AJ114" s="78">
        <v>100153</v>
      </c>
      <c r="AK114" s="78">
        <v>27000</v>
      </c>
      <c r="AL114" s="78">
        <v>73153</v>
      </c>
      <c r="AM114" s="78">
        <v>0</v>
      </c>
      <c r="AN114" s="78">
        <v>8.58</v>
      </c>
      <c r="AO114" s="77">
        <v>0</v>
      </c>
      <c r="AP114" s="77"/>
      <c r="AR114" s="5">
        <v>44233</v>
      </c>
      <c r="AS114" s="5">
        <v>2.8716249999999999</v>
      </c>
      <c r="AT114" s="78">
        <v>1.2120869565217391</v>
      </c>
      <c r="AU114" s="78">
        <v>1</v>
      </c>
      <c r="AV114" s="64">
        <v>1.3892352941176471</v>
      </c>
      <c r="AX114" s="78"/>
      <c r="AY114" s="13">
        <v>43887</v>
      </c>
      <c r="AZ114" s="78" t="e">
        <f t="array" ref="AZ114">INDEX(_xlfn._xlws.FILTER(Table13[],Table13[Days To Maturity]=AZ$3),MATCH($AY114,Table13[Date_d],0),8)</f>
        <v>#REF!</v>
      </c>
      <c r="BA114" s="78" t="e">
        <f t="array" ref="BA114">INDEX(_xlfn._xlws.FILTER(Table13[],Table13[Days To Maturity]=BA$3),MATCH($AY114,Table13[Date_d],0),8)</f>
        <v>#REF!</v>
      </c>
      <c r="BB114" s="78" t="e">
        <f t="array" ref="BB114">INDEX(_xlfn._xlws.FILTER(Table13[],Table13[Days To Maturity]=BB$3),MATCH($AY114,Table13[Date_d],0),8)</f>
        <v>#REF!</v>
      </c>
    </row>
    <row r="115" spans="1:54" x14ac:dyDescent="0.2">
      <c r="A115" s="34">
        <v>43523</v>
      </c>
      <c r="B115" s="35" t="s">
        <v>154</v>
      </c>
      <c r="C115" s="35">
        <v>364</v>
      </c>
      <c r="D115" s="35" t="s">
        <v>20</v>
      </c>
      <c r="E115" s="38">
        <v>15000</v>
      </c>
      <c r="F115" s="38">
        <v>50346</v>
      </c>
      <c r="G115" s="38">
        <v>24000</v>
      </c>
      <c r="H115" s="39">
        <v>10.67</v>
      </c>
      <c r="I115" s="39">
        <v>10.73</v>
      </c>
      <c r="J115" s="32">
        <f t="array" ref="J11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43888</v>
      </c>
      <c r="K115" s="59">
        <f>IFERROR(Table13[[#This Row],[Bid Accepted]]*(Table13[[#This Row],[WAYR Current]]%/364*Table13[[#This Row],[Days To Maturity]]),0)</f>
        <v>2560.7999999999997</v>
      </c>
      <c r="L115" s="41">
        <f>+Table13[[#This Row],[Bid Accepted]]-Table13[[#This Row],[Amount Offered]]</f>
        <v>9000</v>
      </c>
      <c r="M115" s="57">
        <f>+IF(Table13[[#This Row],[WAYR Last]]&gt;0,IF(Table13[[#This Row],[WAYR Current]]&gt;0,(Table13[[#This Row],[WAYR Current]]-Table13[[#This Row],[WAYR Last]]),""),"")</f>
        <v>-6.0000000000000497E-2</v>
      </c>
      <c r="N115" s="23"/>
      <c r="P115" s="67"/>
      <c r="Q115" s="67"/>
      <c r="R115" s="67"/>
      <c r="S115" s="67"/>
      <c r="T115" s="67"/>
      <c r="U115" s="5"/>
      <c r="V115" s="5"/>
      <c r="AG115" s="5"/>
      <c r="AH115" s="13">
        <v>43894</v>
      </c>
      <c r="AI115" s="78">
        <v>29000</v>
      </c>
      <c r="AJ115" s="78">
        <v>95533</v>
      </c>
      <c r="AK115" s="78">
        <v>29000</v>
      </c>
      <c r="AL115" s="78">
        <v>66533</v>
      </c>
      <c r="AM115" s="78">
        <v>0</v>
      </c>
      <c r="AN115" s="78">
        <v>8.4600000000000009</v>
      </c>
      <c r="AO115" s="77">
        <v>0</v>
      </c>
      <c r="AP115" s="77"/>
      <c r="AR115" s="5">
        <v>44237</v>
      </c>
      <c r="AS115" s="5">
        <v>4.6522857142857141</v>
      </c>
      <c r="AT115" s="78">
        <v>2.7768000000000002</v>
      </c>
      <c r="AU115" s="78">
        <v>1</v>
      </c>
      <c r="AV115" s="64">
        <v>1.8612500000000001</v>
      </c>
      <c r="AX115" s="78"/>
      <c r="AY115" s="13">
        <v>43894</v>
      </c>
      <c r="AZ115" s="78" t="e">
        <f t="array" ref="AZ115">INDEX(_xlfn._xlws.FILTER(Table13[],Table13[Days To Maturity]=AZ$3),MATCH($AY115,Table13[Date_d],0),8)</f>
        <v>#REF!</v>
      </c>
      <c r="BA115" s="78" t="e">
        <f t="array" ref="BA115">INDEX(_xlfn._xlws.FILTER(Table13[],Table13[Days To Maturity]=BA$3),MATCH($AY115,Table13[Date_d],0),8)</f>
        <v>#REF!</v>
      </c>
      <c r="BB115" s="78" t="e">
        <f t="array" ref="BB115">INDEX(_xlfn._xlws.FILTER(Table13[],Table13[Days To Maturity]=BB$3),MATCH($AY115,Table13[Date_d],0),8)</f>
        <v>#REF!</v>
      </c>
    </row>
    <row r="116" spans="1:54" x14ac:dyDescent="0.2">
      <c r="A116" s="34">
        <v>43530</v>
      </c>
      <c r="B116" s="35" t="s">
        <v>155</v>
      </c>
      <c r="C116" s="35">
        <v>91</v>
      </c>
      <c r="D116" s="35" t="s">
        <v>20</v>
      </c>
      <c r="E116" s="38">
        <v>4000</v>
      </c>
      <c r="F116" s="38">
        <v>4800</v>
      </c>
      <c r="G116" s="38" t="s">
        <v>54</v>
      </c>
      <c r="H116" s="39" t="s">
        <v>54</v>
      </c>
      <c r="I116" s="39" t="s">
        <v>54</v>
      </c>
      <c r="J116" s="32">
        <f t="array" ref="J11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43622</v>
      </c>
      <c r="K116" s="59">
        <f>IFERROR(Table13[[#This Row],[Bid Accepted]]*(Table13[[#This Row],[WAYR Current]]%/364*Table13[[#This Row],[Days To Maturity]]),0)</f>
        <v>0</v>
      </c>
      <c r="L116" s="41" t="e">
        <f>+Table13[[#This Row],[Bid Accepted]]-Table13[[#This Row],[Amount Offered]]</f>
        <v>#VALUE!</v>
      </c>
      <c r="M116" s="57" t="e">
        <f>+IF(Table13[[#This Row],[WAYR Last]]&gt;0,IF(Table13[[#This Row],[WAYR Current]]&gt;0,(Table13[[#This Row],[WAYR Current]]-Table13[[#This Row],[WAYR Last]]),""),"")</f>
        <v>#VALUE!</v>
      </c>
      <c r="N116" s="5"/>
      <c r="P116" s="67"/>
      <c r="Q116" s="67"/>
      <c r="R116" s="67"/>
      <c r="S116" s="67"/>
      <c r="T116" s="67"/>
      <c r="U116" s="5"/>
      <c r="V116" s="5"/>
      <c r="AG116" s="5"/>
      <c r="AH116" s="13">
        <v>43901</v>
      </c>
      <c r="AI116" s="78">
        <v>32000</v>
      </c>
      <c r="AJ116" s="78">
        <v>84694</v>
      </c>
      <c r="AK116" s="78">
        <v>32000</v>
      </c>
      <c r="AL116" s="78">
        <v>52694</v>
      </c>
      <c r="AM116" s="78">
        <v>0</v>
      </c>
      <c r="AN116" s="78">
        <v>8.48</v>
      </c>
      <c r="AO116" s="77">
        <v>0</v>
      </c>
      <c r="AP116" s="77"/>
      <c r="AR116" s="5">
        <v>44244</v>
      </c>
      <c r="AS116" s="5">
        <v>2.5714000000000001</v>
      </c>
      <c r="AT116" s="78">
        <v>2.14025</v>
      </c>
      <c r="AU116" s="78">
        <v>1.0007999999999999</v>
      </c>
      <c r="AV116" s="64">
        <v>1.4473421052631579</v>
      </c>
      <c r="AX116" s="78"/>
      <c r="AY116" s="13">
        <v>43901</v>
      </c>
      <c r="AZ116" s="78" t="e">
        <f t="array" ref="AZ116">INDEX(_xlfn._xlws.FILTER(Table13[],Table13[Days To Maturity]=AZ$3),MATCH($AY116,Table13[Date_d],0),8)</f>
        <v>#REF!</v>
      </c>
      <c r="BA116" s="78" t="e">
        <f t="array" ref="BA116">INDEX(_xlfn._xlws.FILTER(Table13[],Table13[Days To Maturity]=BA$3),MATCH($AY116,Table13[Date_d],0),8)</f>
        <v>#REF!</v>
      </c>
      <c r="BB116" s="78" t="e">
        <f t="array" ref="BB116">INDEX(_xlfn._xlws.FILTER(Table13[],Table13[Days To Maturity]=BB$3),MATCH($AY116,Table13[Date_d],0),8)</f>
        <v>#REF!</v>
      </c>
    </row>
    <row r="117" spans="1:54" x14ac:dyDescent="0.2">
      <c r="A117" s="9">
        <v>43530</v>
      </c>
      <c r="B117" s="10" t="s">
        <v>156</v>
      </c>
      <c r="C117" s="10">
        <v>182</v>
      </c>
      <c r="D117" s="10" t="s">
        <v>20</v>
      </c>
      <c r="E117" s="18">
        <v>6000</v>
      </c>
      <c r="F117" s="18">
        <v>9300</v>
      </c>
      <c r="G117" s="18" t="s">
        <v>54</v>
      </c>
      <c r="H117" s="37" t="s">
        <v>54</v>
      </c>
      <c r="I117" s="37" t="s">
        <v>54</v>
      </c>
      <c r="J117" s="32">
        <f t="array" ref="J11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43714</v>
      </c>
      <c r="K117" s="59">
        <f>IFERROR(Table13[[#This Row],[Bid Accepted]]*(Table13[[#This Row],[WAYR Current]]%/364*Table13[[#This Row],[Days To Maturity]]),0)</f>
        <v>0</v>
      </c>
      <c r="L117" s="41" t="e">
        <f>+Table13[[#This Row],[Bid Accepted]]-Table13[[#This Row],[Amount Offered]]</f>
        <v>#VALUE!</v>
      </c>
      <c r="M117" s="57" t="e">
        <f>+IF(Table13[[#This Row],[WAYR Last]]&gt;0,IF(Table13[[#This Row],[WAYR Current]]&gt;0,(Table13[[#This Row],[WAYR Current]]-Table13[[#This Row],[WAYR Last]]),""),"")</f>
        <v>#VALUE!</v>
      </c>
      <c r="N117" s="23"/>
      <c r="P117" s="67"/>
      <c r="Q117" s="67"/>
      <c r="R117" s="67"/>
      <c r="S117" s="67"/>
      <c r="T117" s="67"/>
      <c r="U117" s="5"/>
      <c r="V117" s="5"/>
      <c r="AG117" s="5"/>
      <c r="AH117" s="13">
        <v>43908</v>
      </c>
      <c r="AI117" s="78">
        <v>29000</v>
      </c>
      <c r="AJ117" s="78">
        <v>87175</v>
      </c>
      <c r="AK117" s="78">
        <v>29000</v>
      </c>
      <c r="AL117" s="78">
        <v>58175</v>
      </c>
      <c r="AM117" s="78">
        <v>0</v>
      </c>
      <c r="AN117" s="78">
        <v>8.32</v>
      </c>
      <c r="AO117" s="77">
        <v>0</v>
      </c>
      <c r="AP117" s="77"/>
      <c r="AR117" s="5">
        <v>44250</v>
      </c>
      <c r="AS117" s="5">
        <v>2.3535714285714286</v>
      </c>
      <c r="AT117" s="78">
        <v>1.3872380952380952</v>
      </c>
      <c r="AU117" s="78">
        <v>1.0072000000000001</v>
      </c>
      <c r="AV117" s="64">
        <v>1.3228470588235295</v>
      </c>
      <c r="AX117" s="78"/>
      <c r="AY117" s="13">
        <v>43908</v>
      </c>
      <c r="AZ117" s="78" t="e">
        <f t="array" ref="AZ117">INDEX(_xlfn._xlws.FILTER(Table13[],Table13[Days To Maturity]=AZ$3),MATCH($AY117,Table13[Date_d],0),8)</f>
        <v>#REF!</v>
      </c>
      <c r="BA117" s="78" t="e">
        <f t="array" ref="BA117">INDEX(_xlfn._xlws.FILTER(Table13[],Table13[Days To Maturity]=BA$3),MATCH($AY117,Table13[Date_d],0),8)</f>
        <v>#REF!</v>
      </c>
      <c r="BB117" s="78" t="e">
        <f t="array" ref="BB117">INDEX(_xlfn._xlws.FILTER(Table13[],Table13[Days To Maturity]=BB$3),MATCH($AY117,Table13[Date_d],0),8)</f>
        <v>#REF!</v>
      </c>
    </row>
    <row r="118" spans="1:54" x14ac:dyDescent="0.2">
      <c r="A118" s="9">
        <v>43530</v>
      </c>
      <c r="B118" s="10" t="s">
        <v>157</v>
      </c>
      <c r="C118" s="10">
        <v>364</v>
      </c>
      <c r="D118" s="10" t="s">
        <v>20</v>
      </c>
      <c r="E118" s="18">
        <v>14000</v>
      </c>
      <c r="F118" s="18">
        <v>60258</v>
      </c>
      <c r="G118" s="18">
        <v>24000</v>
      </c>
      <c r="H118" s="37">
        <v>10.64</v>
      </c>
      <c r="I118" s="37">
        <v>10.67</v>
      </c>
      <c r="J118" s="32">
        <f t="array" ref="J11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43896</v>
      </c>
      <c r="K118" s="59">
        <f>IFERROR(Table13[[#This Row],[Bid Accepted]]*(Table13[[#This Row],[WAYR Current]]%/364*Table13[[#This Row],[Days To Maturity]]),0)</f>
        <v>2553.6000000000004</v>
      </c>
      <c r="L118" s="41">
        <f>+Table13[[#This Row],[Bid Accepted]]-Table13[[#This Row],[Amount Offered]]</f>
        <v>10000</v>
      </c>
      <c r="M118" s="57">
        <f>+IF(Table13[[#This Row],[WAYR Last]]&gt;0,IF(Table13[[#This Row],[WAYR Current]]&gt;0,(Table13[[#This Row],[WAYR Current]]-Table13[[#This Row],[WAYR Last]]),""),"")</f>
        <v>-2.9999999999999361E-2</v>
      </c>
      <c r="N118" s="23"/>
      <c r="P118" s="67"/>
      <c r="Q118" s="67"/>
      <c r="R118" s="67"/>
      <c r="S118" s="67"/>
      <c r="T118" s="67"/>
      <c r="U118" s="5"/>
      <c r="V118" s="5"/>
      <c r="AG118" s="5"/>
      <c r="AH118" s="13">
        <v>43915</v>
      </c>
      <c r="AI118" s="78">
        <v>30000</v>
      </c>
      <c r="AJ118" s="78">
        <v>69986</v>
      </c>
      <c r="AK118" s="78">
        <v>25000</v>
      </c>
      <c r="AL118" s="78">
        <v>39986</v>
      </c>
      <c r="AM118" s="78">
        <v>-5000</v>
      </c>
      <c r="AN118" s="78">
        <v>7.5</v>
      </c>
      <c r="AO118" s="77">
        <v>-0.16666666666666666</v>
      </c>
      <c r="AP118" s="77"/>
      <c r="AR118" s="5">
        <v>44258</v>
      </c>
      <c r="AS118" s="5">
        <v>6.4594666666666667</v>
      </c>
      <c r="AT118" s="78">
        <v>3.2372800000000002</v>
      </c>
      <c r="AU118" s="78">
        <v>1</v>
      </c>
      <c r="AV118" s="64">
        <v>2.5313777777777777</v>
      </c>
      <c r="AX118" s="78"/>
      <c r="AY118" s="13">
        <v>43915</v>
      </c>
      <c r="AZ118" s="78" t="e">
        <f t="array" ref="AZ118">INDEX(_xlfn._xlws.FILTER(Table13[],Table13[Days To Maturity]=AZ$3),MATCH($AY118,Table13[Date_d],0),8)</f>
        <v>#REF!</v>
      </c>
      <c r="BA118" s="78" t="e">
        <f t="array" ref="BA118">INDEX(_xlfn._xlws.FILTER(Table13[],Table13[Days To Maturity]=BA$3),MATCH($AY118,Table13[Date_d],0),8)</f>
        <v>#REF!</v>
      </c>
      <c r="BB118" s="78" t="e">
        <f t="array" ref="BB118">INDEX(_xlfn._xlws.FILTER(Table13[],Table13[Days To Maturity]=BB$3),MATCH($AY118,Table13[Date_d],0),8)</f>
        <v>#REF!</v>
      </c>
    </row>
    <row r="119" spans="1:54" x14ac:dyDescent="0.2">
      <c r="A119" s="9">
        <v>43537</v>
      </c>
      <c r="B119" s="10" t="s">
        <v>158</v>
      </c>
      <c r="C119" s="10">
        <v>91</v>
      </c>
      <c r="D119" s="10" t="s">
        <v>20</v>
      </c>
      <c r="E119" s="18">
        <v>3000</v>
      </c>
      <c r="F119" s="18">
        <v>4000</v>
      </c>
      <c r="G119" s="18">
        <v>1520</v>
      </c>
      <c r="H119" s="37">
        <v>9.5500000000000007</v>
      </c>
      <c r="I119" s="37" t="s">
        <v>54</v>
      </c>
      <c r="J119" s="32">
        <f t="array" ref="J11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43629</v>
      </c>
      <c r="K119" s="59">
        <f>IFERROR(Table13[[#This Row],[Bid Accepted]]*(Table13[[#This Row],[WAYR Current]]%/364*Table13[[#This Row],[Days To Maturity]]),0)</f>
        <v>36.29</v>
      </c>
      <c r="L119" s="41">
        <f>+Table13[[#This Row],[Bid Accepted]]-Table13[[#This Row],[Amount Offered]]</f>
        <v>-1480</v>
      </c>
      <c r="M119" s="57" t="e">
        <f>+IF(Table13[[#This Row],[WAYR Last]]&gt;0,IF(Table13[[#This Row],[WAYR Current]]&gt;0,(Table13[[#This Row],[WAYR Current]]-Table13[[#This Row],[WAYR Last]]),""),"")</f>
        <v>#VALUE!</v>
      </c>
      <c r="N119" s="23"/>
      <c r="P119" s="67"/>
      <c r="Q119" s="67"/>
      <c r="R119" s="67"/>
      <c r="S119" s="67"/>
      <c r="T119" s="67"/>
      <c r="U119" s="5"/>
      <c r="V119" s="5"/>
      <c r="AG119" s="5"/>
      <c r="AH119" s="13">
        <v>43922</v>
      </c>
      <c r="AI119" s="78">
        <v>30000</v>
      </c>
      <c r="AJ119" s="78">
        <v>54928</v>
      </c>
      <c r="AK119" s="78">
        <v>25000</v>
      </c>
      <c r="AL119" s="78">
        <v>24928</v>
      </c>
      <c r="AM119" s="78">
        <v>-5000</v>
      </c>
      <c r="AN119" s="78">
        <v>7.4</v>
      </c>
      <c r="AO119" s="77">
        <v>-0.16666666666666666</v>
      </c>
      <c r="AP119" s="77"/>
      <c r="AR119" s="5">
        <v>44265</v>
      </c>
      <c r="AS119" s="5">
        <v>2.3786</v>
      </c>
      <c r="AT119" s="78">
        <v>2.0667</v>
      </c>
      <c r="AU119" s="78">
        <v>1.0089999999999999</v>
      </c>
      <c r="AV119" s="64">
        <v>1.5484</v>
      </c>
      <c r="AX119" s="78"/>
      <c r="AY119" s="13">
        <v>43922</v>
      </c>
      <c r="AZ119" s="78" t="e">
        <f t="array" ref="AZ119">INDEX(_xlfn._xlws.FILTER(Table13[],Table13[Days To Maturity]=AZ$3),MATCH($AY119,Table13[Date_d],0),8)</f>
        <v>#REF!</v>
      </c>
      <c r="BA119" s="78" t="e">
        <f t="array" ref="BA119">INDEX(_xlfn._xlws.FILTER(Table13[],Table13[Days To Maturity]=BA$3),MATCH($AY119,Table13[Date_d],0),8)</f>
        <v>#REF!</v>
      </c>
      <c r="BB119" s="78" t="e">
        <f t="array" ref="BB119">INDEX(_xlfn._xlws.FILTER(Table13[],Table13[Days To Maturity]=BB$3),MATCH($AY119,Table13[Date_d],0),8)</f>
        <v>#REF!</v>
      </c>
    </row>
    <row r="120" spans="1:54" x14ac:dyDescent="0.2">
      <c r="A120" s="34">
        <v>43537</v>
      </c>
      <c r="B120" s="35" t="s">
        <v>159</v>
      </c>
      <c r="C120" s="35">
        <v>182</v>
      </c>
      <c r="D120" s="35" t="s">
        <v>20</v>
      </c>
      <c r="E120" s="38">
        <v>5000</v>
      </c>
      <c r="F120" s="38">
        <v>6700</v>
      </c>
      <c r="G120" s="38">
        <v>485</v>
      </c>
      <c r="H120" s="39">
        <v>9.8699999999999992</v>
      </c>
      <c r="I120" s="39" t="s">
        <v>54</v>
      </c>
      <c r="J120" s="32">
        <f t="array" ref="J12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43721</v>
      </c>
      <c r="K120" s="59">
        <f>IFERROR(Table13[[#This Row],[Bid Accepted]]*(Table13[[#This Row],[WAYR Current]]%/364*Table13[[#This Row],[Days To Maturity]]),0)</f>
        <v>23.934749999999998</v>
      </c>
      <c r="L120" s="41">
        <f>+Table13[[#This Row],[Bid Accepted]]-Table13[[#This Row],[Amount Offered]]</f>
        <v>-4515</v>
      </c>
      <c r="M120" s="57" t="e">
        <f>+IF(Table13[[#This Row],[WAYR Last]]&gt;0,IF(Table13[[#This Row],[WAYR Current]]&gt;0,(Table13[[#This Row],[WAYR Current]]-Table13[[#This Row],[WAYR Last]]),""),"")</f>
        <v>#VALUE!</v>
      </c>
      <c r="N120" s="23"/>
      <c r="P120" s="67"/>
      <c r="Q120" s="67"/>
      <c r="R120" s="67"/>
      <c r="S120" s="67"/>
      <c r="T120" s="67"/>
      <c r="U120" s="5"/>
      <c r="V120" s="5"/>
      <c r="AG120" s="5"/>
      <c r="AH120" s="13">
        <v>43927</v>
      </c>
      <c r="AI120" s="78">
        <v>30000</v>
      </c>
      <c r="AJ120" s="78">
        <v>53688</v>
      </c>
      <c r="AK120" s="78">
        <v>13900</v>
      </c>
      <c r="AL120" s="78">
        <v>23688</v>
      </c>
      <c r="AM120" s="78">
        <v>-16100</v>
      </c>
      <c r="AN120" s="78">
        <v>7</v>
      </c>
      <c r="AO120" s="77">
        <v>-0.53666666666666663</v>
      </c>
      <c r="AP120" s="77"/>
      <c r="AR120" s="5">
        <v>44272</v>
      </c>
      <c r="AS120" s="5">
        <v>2.5059</v>
      </c>
      <c r="AT120" s="78">
        <v>1.5235000000000001</v>
      </c>
      <c r="AU120" s="78">
        <v>1.0147999999999999</v>
      </c>
      <c r="AV120" s="64">
        <v>1.4592000000000001</v>
      </c>
      <c r="AX120" s="78"/>
      <c r="AY120" s="13">
        <v>43927</v>
      </c>
      <c r="AZ120" s="78" t="e">
        <f t="array" ref="AZ120">INDEX(_xlfn._xlws.FILTER(Table13[],Table13[Days To Maturity]=AZ$3),MATCH($AY120,Table13[Date_d],0),8)</f>
        <v>#REF!</v>
      </c>
      <c r="BA120" s="78" t="e">
        <f t="array" ref="BA120">INDEX(_xlfn._xlws.FILTER(Table13[],Table13[Days To Maturity]=BA$3),MATCH($AY120,Table13[Date_d],0),8)</f>
        <v>#REF!</v>
      </c>
      <c r="BB120" s="78" t="e">
        <f t="array" ref="BB120">INDEX(_xlfn._xlws.FILTER(Table13[],Table13[Days To Maturity]=BB$3),MATCH($AY120,Table13[Date_d],0),8)</f>
        <v>#REF!</v>
      </c>
    </row>
    <row r="121" spans="1:54" x14ac:dyDescent="0.2">
      <c r="A121" s="60">
        <v>43537</v>
      </c>
      <c r="B121" s="61" t="s">
        <v>160</v>
      </c>
      <c r="C121" s="61">
        <v>364</v>
      </c>
      <c r="D121" s="61" t="s">
        <v>20</v>
      </c>
      <c r="E121" s="62">
        <v>16000</v>
      </c>
      <c r="F121" s="62">
        <v>51332</v>
      </c>
      <c r="G121" s="62">
        <v>21995</v>
      </c>
      <c r="H121" s="63">
        <v>10.58</v>
      </c>
      <c r="I121" s="39">
        <v>10.64</v>
      </c>
      <c r="J121" s="32">
        <f t="array" ref="J12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43903</v>
      </c>
      <c r="K121" s="59">
        <f>IFERROR(Table13[[#This Row],[Bid Accepted]]*(Table13[[#This Row],[WAYR Current]]%/364*Table13[[#This Row],[Days To Maturity]]),0)</f>
        <v>2327.0709999999999</v>
      </c>
      <c r="L121" s="41">
        <f>+Table13[[#This Row],[Bid Accepted]]-Table13[[#This Row],[Amount Offered]]</f>
        <v>5995</v>
      </c>
      <c r="M121" s="57">
        <f>+IF(Table13[[#This Row],[WAYR Last]]&gt;0,IF(Table13[[#This Row],[WAYR Current]]&gt;0,(Table13[[#This Row],[WAYR Current]]-Table13[[#This Row],[WAYR Last]]),""),"")</f>
        <v>-6.0000000000000497E-2</v>
      </c>
      <c r="N121" s="23"/>
      <c r="P121" s="67"/>
      <c r="Q121" s="67"/>
      <c r="R121" s="67"/>
      <c r="S121" s="67"/>
      <c r="T121" s="67"/>
      <c r="U121" s="5"/>
      <c r="V121" s="5"/>
      <c r="AG121" s="5"/>
      <c r="AH121" s="13">
        <v>43936</v>
      </c>
      <c r="AI121" s="78">
        <v>30000</v>
      </c>
      <c r="AJ121" s="78">
        <v>39315</v>
      </c>
      <c r="AK121" s="78">
        <v>9905</v>
      </c>
      <c r="AL121" s="78">
        <v>9315</v>
      </c>
      <c r="AM121" s="78">
        <v>-20095</v>
      </c>
      <c r="AN121" s="78">
        <v>7</v>
      </c>
      <c r="AO121" s="77">
        <v>-0.66983333333333328</v>
      </c>
      <c r="AP121" s="77"/>
      <c r="AQ121" s="5"/>
      <c r="AR121" s="5">
        <v>44279</v>
      </c>
      <c r="AS121" s="5">
        <v>1.81</v>
      </c>
      <c r="AT121" s="78">
        <v>1.0350666666666666</v>
      </c>
      <c r="AU121" s="78">
        <v>1</v>
      </c>
      <c r="AV121" s="64">
        <v>1.1916888888888888</v>
      </c>
      <c r="AX121" s="78"/>
      <c r="AY121" s="13">
        <v>43936</v>
      </c>
      <c r="AZ121" s="78" t="e">
        <f t="array" ref="AZ121">INDEX(_xlfn._xlws.FILTER(Table13[],Table13[Days To Maturity]=AZ$3),MATCH($AY121,Table13[Date_d],0),8)</f>
        <v>#REF!</v>
      </c>
      <c r="BA121" s="78" t="e">
        <f t="array" ref="BA121">INDEX(_xlfn._xlws.FILTER(Table13[],Table13[Days To Maturity]=BA$3),MATCH($AY121,Table13[Date_d],0),8)</f>
        <v>#REF!</v>
      </c>
      <c r="BB121" s="78" t="e">
        <f t="array" ref="BB121">INDEX(_xlfn._xlws.FILTER(Table13[],Table13[Days To Maturity]=BB$3),MATCH($AY121,Table13[Date_d],0),8)</f>
        <v>#REF!</v>
      </c>
    </row>
    <row r="122" spans="1:54" x14ac:dyDescent="0.2">
      <c r="A122" s="34">
        <v>43543</v>
      </c>
      <c r="B122" s="35" t="s">
        <v>161</v>
      </c>
      <c r="C122" s="35">
        <v>91</v>
      </c>
      <c r="D122" s="35" t="s">
        <v>20</v>
      </c>
      <c r="E122" s="38">
        <v>2000</v>
      </c>
      <c r="F122" s="38">
        <v>4900</v>
      </c>
      <c r="G122" s="38">
        <v>2000</v>
      </c>
      <c r="H122" s="39">
        <v>9.49</v>
      </c>
      <c r="I122" s="39">
        <v>9.5500000000000007</v>
      </c>
      <c r="J122" s="32">
        <f t="array" ref="J12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43635</v>
      </c>
      <c r="K122" s="59">
        <f>IFERROR(Table13[[#This Row],[Bid Accepted]]*(Table13[[#This Row],[WAYR Current]]%/364*Table13[[#This Row],[Days To Maturity]]),0)</f>
        <v>47.449999999999996</v>
      </c>
      <c r="L122" s="41">
        <f>+Table13[[#This Row],[Bid Accepted]]-Table13[[#This Row],[Amount Offered]]</f>
        <v>0</v>
      </c>
      <c r="M122" s="57">
        <f>+IF(Table13[[#This Row],[WAYR Last]]&gt;0,IF(Table13[[#This Row],[WAYR Current]]&gt;0,(Table13[[#This Row],[WAYR Current]]-Table13[[#This Row],[WAYR Last]]),""),"")</f>
        <v>-6.0000000000000497E-2</v>
      </c>
      <c r="N122" s="23"/>
      <c r="P122" s="67"/>
      <c r="Q122" s="67"/>
      <c r="R122" s="67"/>
      <c r="S122" s="67"/>
      <c r="T122" s="67"/>
      <c r="U122" s="5"/>
      <c r="V122" s="5"/>
      <c r="AG122" s="5"/>
      <c r="AH122" s="13">
        <v>43943</v>
      </c>
      <c r="AI122" s="78">
        <v>30000</v>
      </c>
      <c r="AJ122" s="78">
        <v>52081</v>
      </c>
      <c r="AK122" s="78">
        <v>22131</v>
      </c>
      <c r="AL122" s="78">
        <v>22081</v>
      </c>
      <c r="AM122" s="78">
        <v>-7869</v>
      </c>
      <c r="AN122" s="78">
        <v>7</v>
      </c>
      <c r="AO122" s="77">
        <v>-0.26229999999999998</v>
      </c>
      <c r="AP122" s="77"/>
      <c r="AQ122" s="5"/>
      <c r="AR122" s="5">
        <v>44285</v>
      </c>
      <c r="AS122" s="5">
        <v>1.016</v>
      </c>
      <c r="AT122" s="78">
        <v>1.0852666666666666</v>
      </c>
      <c r="AU122" s="78">
        <v>1</v>
      </c>
      <c r="AV122" s="64">
        <v>1.0319777777777779</v>
      </c>
      <c r="AX122" s="78"/>
      <c r="AY122" s="13">
        <v>43943</v>
      </c>
      <c r="AZ122" s="78" t="e">
        <f t="array" ref="AZ122">INDEX(_xlfn._xlws.FILTER(Table13[],Table13[Days To Maturity]=AZ$3),MATCH($AY122,Table13[Date_d],0),8)</f>
        <v>#REF!</v>
      </c>
      <c r="BA122" s="78" t="e">
        <f t="array" ref="BA122">INDEX(_xlfn._xlws.FILTER(Table13[],Table13[Days To Maturity]=BA$3),MATCH($AY122,Table13[Date_d],0),8)</f>
        <v>#REF!</v>
      </c>
      <c r="BB122" s="78" t="e">
        <f t="array" ref="BB122">INDEX(_xlfn._xlws.FILTER(Table13[],Table13[Days To Maturity]=BB$3),MATCH($AY122,Table13[Date_d],0),8)</f>
        <v>#REF!</v>
      </c>
    </row>
    <row r="123" spans="1:54" x14ac:dyDescent="0.2">
      <c r="A123" s="9">
        <v>43543</v>
      </c>
      <c r="B123" s="10" t="s">
        <v>162</v>
      </c>
      <c r="C123" s="10">
        <v>182</v>
      </c>
      <c r="D123" s="10" t="s">
        <v>20</v>
      </c>
      <c r="E123" s="18">
        <v>2000</v>
      </c>
      <c r="F123" s="18">
        <v>5000</v>
      </c>
      <c r="G123" s="18">
        <v>2000</v>
      </c>
      <c r="H123" s="37">
        <v>9.7899999999999991</v>
      </c>
      <c r="I123" s="37">
        <v>9.8699999999999992</v>
      </c>
      <c r="J123" s="32">
        <f t="array" ref="J12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43727</v>
      </c>
      <c r="K123" s="59">
        <f>IFERROR(Table13[[#This Row],[Bid Accepted]]*(Table13[[#This Row],[WAYR Current]]%/364*Table13[[#This Row],[Days To Maturity]]),0)</f>
        <v>97.899999999999991</v>
      </c>
      <c r="L123" s="41">
        <f>+Table13[[#This Row],[Bid Accepted]]-Table13[[#This Row],[Amount Offered]]</f>
        <v>0</v>
      </c>
      <c r="M123" s="57">
        <f>+IF(Table13[[#This Row],[WAYR Last]]&gt;0,IF(Table13[[#This Row],[WAYR Current]]&gt;0,(Table13[[#This Row],[WAYR Current]]-Table13[[#This Row],[WAYR Last]]),""),"")</f>
        <v>-8.0000000000000071E-2</v>
      </c>
      <c r="N123" s="23"/>
      <c r="P123" s="67"/>
      <c r="Q123" s="67"/>
      <c r="R123" s="67"/>
      <c r="S123" s="67"/>
      <c r="T123" s="67"/>
      <c r="U123" s="5"/>
      <c r="V123" s="5"/>
      <c r="AG123" s="5"/>
      <c r="AH123" s="13">
        <v>43949</v>
      </c>
      <c r="AI123" s="78">
        <v>30000</v>
      </c>
      <c r="AJ123" s="78">
        <v>56528</v>
      </c>
      <c r="AK123" s="78">
        <v>23350</v>
      </c>
      <c r="AL123" s="78">
        <v>26528</v>
      </c>
      <c r="AM123" s="78">
        <v>-6650</v>
      </c>
      <c r="AN123" s="78">
        <v>7</v>
      </c>
      <c r="AO123" s="77">
        <v>-0.22166666666666668</v>
      </c>
      <c r="AP123" s="77"/>
      <c r="AQ123" s="5"/>
      <c r="AR123" s="5">
        <v>44293</v>
      </c>
      <c r="AS123" s="5">
        <v>2.5066999999999999</v>
      </c>
      <c r="AT123" s="78">
        <v>1.0451333333333332</v>
      </c>
      <c r="AU123" s="78">
        <v>1</v>
      </c>
      <c r="AV123" s="64">
        <v>1.3498666666666668</v>
      </c>
      <c r="AX123" s="78"/>
      <c r="AY123" s="13">
        <v>43949</v>
      </c>
      <c r="AZ123" s="78" t="e">
        <f t="array" ref="AZ123">INDEX(_xlfn._xlws.FILTER(Table13[],Table13[Days To Maturity]=AZ$3),MATCH($AY123,Table13[Date_d],0),8)</f>
        <v>#REF!</v>
      </c>
      <c r="BA123" s="78" t="e">
        <f t="array" ref="BA123">INDEX(_xlfn._xlws.FILTER(Table13[],Table13[Days To Maturity]=BA$3),MATCH($AY123,Table13[Date_d],0),8)</f>
        <v>#REF!</v>
      </c>
      <c r="BB123" s="78" t="e">
        <f t="array" ref="BB123">INDEX(_xlfn._xlws.FILTER(Table13[],Table13[Days To Maturity]=BB$3),MATCH($AY123,Table13[Date_d],0),8)</f>
        <v>#REF!</v>
      </c>
    </row>
    <row r="124" spans="1:54" x14ac:dyDescent="0.2">
      <c r="A124" s="9">
        <v>43543</v>
      </c>
      <c r="B124" s="10" t="s">
        <v>163</v>
      </c>
      <c r="C124" s="10">
        <v>364</v>
      </c>
      <c r="D124" s="10" t="s">
        <v>20</v>
      </c>
      <c r="E124" s="18">
        <v>20000</v>
      </c>
      <c r="F124" s="18">
        <v>56837</v>
      </c>
      <c r="G124" s="18">
        <v>20000</v>
      </c>
      <c r="H124" s="37">
        <v>10.52</v>
      </c>
      <c r="I124" s="37">
        <v>10.58</v>
      </c>
      <c r="J124" s="32">
        <f t="array" ref="J12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43909</v>
      </c>
      <c r="K124" s="59">
        <f>IFERROR(Table13[[#This Row],[Bid Accepted]]*(Table13[[#This Row],[WAYR Current]]%/364*Table13[[#This Row],[Days To Maturity]]),0)</f>
        <v>2104</v>
      </c>
      <c r="L124" s="41">
        <f>+Table13[[#This Row],[Bid Accepted]]-Table13[[#This Row],[Amount Offered]]</f>
        <v>0</v>
      </c>
      <c r="M124" s="57">
        <f>+IF(Table13[[#This Row],[WAYR Last]]&gt;0,IF(Table13[[#This Row],[WAYR Current]]&gt;0,(Table13[[#This Row],[WAYR Current]]-Table13[[#This Row],[WAYR Last]]),""),"")</f>
        <v>-6.0000000000000497E-2</v>
      </c>
      <c r="N124" s="23"/>
      <c r="P124" s="67"/>
      <c r="Q124" s="67"/>
      <c r="R124" s="67"/>
      <c r="S124" s="67"/>
      <c r="T124" s="67"/>
      <c r="U124" s="5"/>
      <c r="V124" s="5"/>
      <c r="AG124" s="5"/>
      <c r="AH124" s="13">
        <v>43955</v>
      </c>
      <c r="AI124" s="78">
        <v>30000</v>
      </c>
      <c r="AJ124" s="78">
        <v>44735</v>
      </c>
      <c r="AK124" s="78">
        <v>19265</v>
      </c>
      <c r="AL124" s="78">
        <v>14735</v>
      </c>
      <c r="AM124" s="78">
        <v>-10735</v>
      </c>
      <c r="AN124" s="78">
        <v>7</v>
      </c>
      <c r="AO124" s="77">
        <v>-0.35783333333333334</v>
      </c>
      <c r="AP124" s="77"/>
      <c r="AQ124" s="5"/>
      <c r="AR124" s="5">
        <v>44298</v>
      </c>
      <c r="AS124" s="5">
        <v>3.6835</v>
      </c>
      <c r="AT124" s="78">
        <v>1.6166666666666667</v>
      </c>
      <c r="AU124" s="78">
        <v>1.0136363636363637</v>
      </c>
      <c r="AV124" s="64">
        <v>1.6892888888888888</v>
      </c>
      <c r="AX124" s="78"/>
      <c r="AY124" s="13">
        <v>43955</v>
      </c>
      <c r="AZ124" s="78" t="e">
        <f t="array" ref="AZ124">INDEX(_xlfn._xlws.FILTER(Table13[],Table13[Days To Maturity]=AZ$3),MATCH($AY124,Table13[Date_d],0),8)</f>
        <v>#REF!</v>
      </c>
      <c r="BA124" s="78" t="e">
        <f t="array" ref="BA124">INDEX(_xlfn._xlws.FILTER(Table13[],Table13[Days To Maturity]=BA$3),MATCH($AY124,Table13[Date_d],0),8)</f>
        <v>#REF!</v>
      </c>
      <c r="BB124" s="78" t="e">
        <f t="array" ref="BB124">INDEX(_xlfn._xlws.FILTER(Table13[],Table13[Days To Maturity]=BB$3),MATCH($AY124,Table13[Date_d],0),8)</f>
        <v>#REF!</v>
      </c>
    </row>
    <row r="125" spans="1:54" x14ac:dyDescent="0.2">
      <c r="A125" s="9">
        <v>43551</v>
      </c>
      <c r="B125" s="10" t="s">
        <v>164</v>
      </c>
      <c r="C125" s="10">
        <v>91</v>
      </c>
      <c r="D125" s="10" t="s">
        <v>20</v>
      </c>
      <c r="E125" s="18">
        <v>2500</v>
      </c>
      <c r="F125" s="18">
        <v>5700</v>
      </c>
      <c r="G125" s="18">
        <v>2500</v>
      </c>
      <c r="H125" s="37">
        <v>9.39</v>
      </c>
      <c r="I125" s="37">
        <v>9.49</v>
      </c>
      <c r="J125" s="32">
        <f t="array" ref="J12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43643</v>
      </c>
      <c r="K125" s="59">
        <f>IFERROR(Table13[[#This Row],[Bid Accepted]]*(Table13[[#This Row],[WAYR Current]]%/364*Table13[[#This Row],[Days To Maturity]]),0)</f>
        <v>58.6875</v>
      </c>
      <c r="L125" s="41">
        <f>+Table13[[#This Row],[Bid Accepted]]-Table13[[#This Row],[Amount Offered]]</f>
        <v>0</v>
      </c>
      <c r="M125" s="57">
        <f>+IF(Table13[[#This Row],[WAYR Last]]&gt;0,IF(Table13[[#This Row],[WAYR Current]]&gt;0,(Table13[[#This Row],[WAYR Current]]-Table13[[#This Row],[WAYR Last]]),""),"")</f>
        <v>-9.9999999999999645E-2</v>
      </c>
      <c r="N125" s="23"/>
      <c r="P125" s="67"/>
      <c r="Q125" s="67"/>
      <c r="R125" s="67"/>
      <c r="S125" s="67"/>
      <c r="T125" s="67"/>
      <c r="U125" s="5"/>
      <c r="V125" s="5"/>
      <c r="AG125" s="5"/>
      <c r="AH125" s="13">
        <v>43964</v>
      </c>
      <c r="AI125" s="78">
        <v>30000</v>
      </c>
      <c r="AJ125" s="78">
        <v>53410</v>
      </c>
      <c r="AK125" s="78">
        <v>30000</v>
      </c>
      <c r="AL125" s="78">
        <v>23410</v>
      </c>
      <c r="AM125" s="78">
        <v>0</v>
      </c>
      <c r="AN125" s="78">
        <v>6.94</v>
      </c>
      <c r="AO125" s="77">
        <v>0</v>
      </c>
      <c r="AP125" s="77"/>
      <c r="AQ125" s="5"/>
      <c r="AR125" s="5">
        <v>44307</v>
      </c>
      <c r="AS125" s="5">
        <v>4.8410000000000002</v>
      </c>
      <c r="AT125" s="78">
        <v>1.1767333333333334</v>
      </c>
      <c r="AU125" s="78">
        <v>1</v>
      </c>
      <c r="AV125" s="64">
        <v>1.9124666666666668</v>
      </c>
      <c r="AX125" s="78"/>
      <c r="AY125" s="13">
        <v>43964</v>
      </c>
      <c r="AZ125" s="78" t="e">
        <f t="array" ref="AZ125">INDEX(_xlfn._xlws.FILTER(Table13[],Table13[Days To Maturity]=AZ$3),MATCH($AY125,Table13[Date_d],0),8)</f>
        <v>#REF!</v>
      </c>
      <c r="BA125" s="78" t="e">
        <f t="array" ref="BA125">INDEX(_xlfn._xlws.FILTER(Table13[],Table13[Days To Maturity]=BA$3),MATCH($AY125,Table13[Date_d],0),8)</f>
        <v>#REF!</v>
      </c>
      <c r="BB125" s="78" t="e">
        <f t="array" ref="BB125">INDEX(_xlfn._xlws.FILTER(Table13[],Table13[Days To Maturity]=BB$3),MATCH($AY125,Table13[Date_d],0),8)</f>
        <v>#REF!</v>
      </c>
    </row>
    <row r="126" spans="1:54" x14ac:dyDescent="0.2">
      <c r="A126" s="34">
        <v>43551</v>
      </c>
      <c r="B126" s="35" t="s">
        <v>165</v>
      </c>
      <c r="C126" s="35">
        <v>182</v>
      </c>
      <c r="D126" s="35" t="s">
        <v>20</v>
      </c>
      <c r="E126" s="38">
        <v>2500</v>
      </c>
      <c r="F126" s="38">
        <v>5700</v>
      </c>
      <c r="G126" s="38">
        <v>2500</v>
      </c>
      <c r="H126" s="39">
        <v>9.67</v>
      </c>
      <c r="I126" s="39">
        <v>9.7899999999999991</v>
      </c>
      <c r="J126" s="32">
        <f t="array" ref="J12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43735</v>
      </c>
      <c r="K126" s="59">
        <f>IFERROR(Table13[[#This Row],[Bid Accepted]]*(Table13[[#This Row],[WAYR Current]]%/364*Table13[[#This Row],[Days To Maturity]]),0)</f>
        <v>120.87499999999999</v>
      </c>
      <c r="L126" s="41">
        <f>+Table13[[#This Row],[Bid Accepted]]-Table13[[#This Row],[Amount Offered]]</f>
        <v>0</v>
      </c>
      <c r="M126" s="57">
        <f>+IF(Table13[[#This Row],[WAYR Last]]&gt;0,IF(Table13[[#This Row],[WAYR Current]]&gt;0,(Table13[[#This Row],[WAYR Current]]-Table13[[#This Row],[WAYR Last]]),""),"")</f>
        <v>-0.11999999999999922</v>
      </c>
      <c r="N126" s="23"/>
      <c r="P126" s="67"/>
      <c r="Q126" s="67"/>
      <c r="R126" s="67"/>
      <c r="S126" s="67"/>
      <c r="T126" s="67"/>
      <c r="U126" s="5"/>
      <c r="V126" s="5"/>
      <c r="AG126" s="5"/>
      <c r="AH126" s="13">
        <v>43971</v>
      </c>
      <c r="AI126" s="78">
        <v>30000</v>
      </c>
      <c r="AJ126" s="78">
        <v>67355</v>
      </c>
      <c r="AK126" s="78">
        <v>30000</v>
      </c>
      <c r="AL126" s="78">
        <v>37355</v>
      </c>
      <c r="AM126" s="78">
        <v>0</v>
      </c>
      <c r="AN126" s="78">
        <v>6.93</v>
      </c>
      <c r="AO126" s="77">
        <v>0</v>
      </c>
      <c r="AP126" s="77"/>
      <c r="AQ126" s="5"/>
      <c r="AR126" s="5">
        <v>44314</v>
      </c>
      <c r="AS126" s="5">
        <v>3.1155555555555554</v>
      </c>
      <c r="AT126" s="78">
        <v>1.0199444444444445</v>
      </c>
      <c r="AU126" s="78">
        <v>1</v>
      </c>
      <c r="AV126" s="64">
        <v>1.4310888888888889</v>
      </c>
      <c r="AX126" s="78"/>
      <c r="AY126" s="13">
        <v>43971</v>
      </c>
      <c r="AZ126" s="78" t="e">
        <f t="array" ref="AZ126">INDEX(_xlfn._xlws.FILTER(Table13[],Table13[Days To Maturity]=AZ$3),MATCH($AY126,Table13[Date_d],0),8)</f>
        <v>#REF!</v>
      </c>
      <c r="BA126" s="78" t="e">
        <f t="array" ref="BA126">INDEX(_xlfn._xlws.FILTER(Table13[],Table13[Days To Maturity]=BA$3),MATCH($AY126,Table13[Date_d],0),8)</f>
        <v>#REF!</v>
      </c>
      <c r="BB126" s="78" t="e">
        <f t="array" ref="BB126">INDEX(_xlfn._xlws.FILTER(Table13[],Table13[Days To Maturity]=BB$3),MATCH($AY126,Table13[Date_d],0),8)</f>
        <v>#REF!</v>
      </c>
    </row>
    <row r="127" spans="1:54" x14ac:dyDescent="0.2">
      <c r="A127" s="34">
        <v>43551</v>
      </c>
      <c r="B127" s="35" t="s">
        <v>166</v>
      </c>
      <c r="C127" s="35">
        <v>364</v>
      </c>
      <c r="D127" s="35" t="s">
        <v>20</v>
      </c>
      <c r="E127" s="38">
        <v>20000</v>
      </c>
      <c r="F127" s="38">
        <v>74687</v>
      </c>
      <c r="G127" s="38">
        <v>20000</v>
      </c>
      <c r="H127" s="39">
        <v>10.4</v>
      </c>
      <c r="I127" s="39">
        <v>10.52</v>
      </c>
      <c r="J127" s="32">
        <f t="array" ref="J12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43917</v>
      </c>
      <c r="K127" s="59">
        <f>IFERROR(Table13[[#This Row],[Bid Accepted]]*(Table13[[#This Row],[WAYR Current]]%/364*Table13[[#This Row],[Days To Maturity]]),0)</f>
        <v>2080</v>
      </c>
      <c r="L127" s="41">
        <f>+Table13[[#This Row],[Bid Accepted]]-Table13[[#This Row],[Amount Offered]]</f>
        <v>0</v>
      </c>
      <c r="M127" s="57">
        <f>+IF(Table13[[#This Row],[WAYR Last]]&gt;0,IF(Table13[[#This Row],[WAYR Current]]&gt;0,(Table13[[#This Row],[WAYR Current]]-Table13[[#This Row],[WAYR Last]]),""),"")</f>
        <v>-0.11999999999999922</v>
      </c>
      <c r="N127" s="23"/>
      <c r="P127" s="67"/>
      <c r="Q127" s="67"/>
      <c r="R127" s="67"/>
      <c r="S127" s="67"/>
      <c r="T127" s="67"/>
      <c r="U127" s="5"/>
      <c r="V127" s="5"/>
      <c r="AG127" s="5"/>
      <c r="AH127" s="13">
        <v>43978</v>
      </c>
      <c r="AI127" s="78">
        <v>30000</v>
      </c>
      <c r="AJ127" s="78">
        <v>66682</v>
      </c>
      <c r="AK127" s="78">
        <v>30000</v>
      </c>
      <c r="AL127" s="78">
        <v>36682</v>
      </c>
      <c r="AM127" s="78">
        <v>0</v>
      </c>
      <c r="AN127" s="78">
        <v>6.93</v>
      </c>
      <c r="AO127" s="77">
        <v>0</v>
      </c>
      <c r="AP127" s="77"/>
      <c r="AQ127" s="5"/>
      <c r="AR127" s="5">
        <v>44321</v>
      </c>
      <c r="AS127" s="5">
        <v>2.6789999999999998</v>
      </c>
      <c r="AT127" s="78">
        <v>1.5948666666666667</v>
      </c>
      <c r="AU127" s="78">
        <v>1.0230526315789474</v>
      </c>
      <c r="AV127" s="64">
        <v>1.6184444444444444</v>
      </c>
      <c r="AX127" s="78"/>
      <c r="AY127" s="13">
        <v>43978</v>
      </c>
      <c r="AZ127" s="78" t="e">
        <f t="array" ref="AZ127">INDEX(_xlfn._xlws.FILTER(Table13[],Table13[Days To Maturity]=AZ$3),MATCH($AY127,Table13[Date_d],0),8)</f>
        <v>#REF!</v>
      </c>
      <c r="BA127" s="78" t="e">
        <f t="array" ref="BA127">INDEX(_xlfn._xlws.FILTER(Table13[],Table13[Days To Maturity]=BA$3),MATCH($AY127,Table13[Date_d],0),8)</f>
        <v>#REF!</v>
      </c>
      <c r="BB127" s="78" t="e">
        <f t="array" ref="BB127">INDEX(_xlfn._xlws.FILTER(Table13[],Table13[Days To Maturity]=BB$3),MATCH($AY127,Table13[Date_d],0),8)</f>
        <v>#REF!</v>
      </c>
    </row>
    <row r="128" spans="1:54" x14ac:dyDescent="0.2">
      <c r="A128" s="34">
        <v>43558</v>
      </c>
      <c r="B128" s="35" t="s">
        <v>167</v>
      </c>
      <c r="C128" s="35">
        <v>91</v>
      </c>
      <c r="D128" s="35" t="s">
        <v>20</v>
      </c>
      <c r="E128" s="38">
        <v>4000</v>
      </c>
      <c r="F128" s="38">
        <v>9400</v>
      </c>
      <c r="G128" s="38">
        <v>4000</v>
      </c>
      <c r="H128" s="39">
        <v>9.24</v>
      </c>
      <c r="I128" s="39">
        <v>9.39</v>
      </c>
      <c r="J128" s="32">
        <f t="array" ref="J12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43649</v>
      </c>
      <c r="K128" s="59">
        <f>IFERROR(Table13[[#This Row],[Bid Accepted]]*(Table13[[#This Row],[WAYR Current]]%/364*Table13[[#This Row],[Days To Maturity]]),0)</f>
        <v>92.399999999999977</v>
      </c>
      <c r="L128" s="41">
        <f>+Table13[[#This Row],[Bid Accepted]]-Table13[[#This Row],[Amount Offered]]</f>
        <v>0</v>
      </c>
      <c r="M128" s="57">
        <f>+IF(Table13[[#This Row],[WAYR Last]]&gt;0,IF(Table13[[#This Row],[WAYR Current]]&gt;0,(Table13[[#This Row],[WAYR Current]]-Table13[[#This Row],[WAYR Last]]),""),"")</f>
        <v>-0.15000000000000036</v>
      </c>
      <c r="N128" s="23"/>
      <c r="P128" s="67"/>
      <c r="Q128" s="67"/>
      <c r="R128" s="67"/>
      <c r="S128" s="67"/>
      <c r="T128" s="67"/>
      <c r="U128" s="5"/>
      <c r="V128" s="5"/>
      <c r="AG128" s="5"/>
      <c r="AH128" s="13">
        <v>43984</v>
      </c>
      <c r="AI128" s="78">
        <v>21500</v>
      </c>
      <c r="AJ128" s="78">
        <v>36513</v>
      </c>
      <c r="AK128" s="78">
        <v>20463</v>
      </c>
      <c r="AL128" s="78">
        <v>15013</v>
      </c>
      <c r="AM128" s="78">
        <v>-1037</v>
      </c>
      <c r="AN128" s="78">
        <v>6.68</v>
      </c>
      <c r="AO128" s="77">
        <v>-4.8232558139534885E-2</v>
      </c>
      <c r="AP128" s="77"/>
      <c r="AQ128" s="5"/>
      <c r="AR128" s="5">
        <v>44327</v>
      </c>
      <c r="AS128" s="5">
        <v>1.5318333333333334</v>
      </c>
      <c r="AT128" s="78">
        <v>1.60375</v>
      </c>
      <c r="AU128" s="78">
        <v>1.0015789473684211</v>
      </c>
      <c r="AV128" s="64">
        <v>1.3419574468085107</v>
      </c>
      <c r="AX128" s="78"/>
      <c r="AY128" s="13">
        <v>43984</v>
      </c>
      <c r="AZ128" s="78" t="e">
        <f t="array" ref="AZ128">INDEX(_xlfn._xlws.FILTER(Table13[],Table13[Days To Maturity]=AZ$3),MATCH($AY128,Table13[Date_d],0),8)</f>
        <v>#REF!</v>
      </c>
      <c r="BA128" s="78" t="e">
        <f t="array" ref="BA128">INDEX(_xlfn._xlws.FILTER(Table13[],Table13[Days To Maturity]=BA$3),MATCH($AY128,Table13[Date_d],0),8)</f>
        <v>#REF!</v>
      </c>
      <c r="BB128" s="78" t="e">
        <f t="array" ref="BB128">INDEX(_xlfn._xlws.FILTER(Table13[],Table13[Days To Maturity]=BB$3),MATCH($AY128,Table13[Date_d],0),8)</f>
        <v>#REF!</v>
      </c>
    </row>
    <row r="129" spans="1:54" x14ac:dyDescent="0.2">
      <c r="A129" s="9">
        <v>43558</v>
      </c>
      <c r="B129" s="10" t="s">
        <v>168</v>
      </c>
      <c r="C129" s="10">
        <v>182</v>
      </c>
      <c r="D129" s="10" t="s">
        <v>20</v>
      </c>
      <c r="E129" s="18">
        <v>4000</v>
      </c>
      <c r="F129" s="18">
        <v>9852</v>
      </c>
      <c r="G129" s="18">
        <v>4000</v>
      </c>
      <c r="H129" s="37">
        <v>9.5</v>
      </c>
      <c r="I129" s="37">
        <v>9.67</v>
      </c>
      <c r="J129" s="32">
        <f t="array" ref="J12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43741</v>
      </c>
      <c r="K129" s="59">
        <f>IFERROR(Table13[[#This Row],[Bid Accepted]]*(Table13[[#This Row],[WAYR Current]]%/364*Table13[[#This Row],[Days To Maturity]]),0)</f>
        <v>190.00000000000003</v>
      </c>
      <c r="L129" s="41">
        <f>+Table13[[#This Row],[Bid Accepted]]-Table13[[#This Row],[Amount Offered]]</f>
        <v>0</v>
      </c>
      <c r="M129" s="57">
        <f>+IF(Table13[[#This Row],[WAYR Last]]&gt;0,IF(Table13[[#This Row],[WAYR Current]]&gt;0,(Table13[[#This Row],[WAYR Current]]-Table13[[#This Row],[WAYR Last]]),""),"")</f>
        <v>-0.16999999999999993</v>
      </c>
      <c r="N129" s="23"/>
      <c r="P129" s="67"/>
      <c r="Q129" s="67"/>
      <c r="R129" s="67"/>
      <c r="S129" s="67"/>
      <c r="T129" s="67"/>
      <c r="U129" s="5"/>
      <c r="V129" s="5"/>
      <c r="AG129" s="5"/>
      <c r="AH129" s="13">
        <v>43992</v>
      </c>
      <c r="AI129" s="78">
        <v>23000</v>
      </c>
      <c r="AJ129" s="78">
        <v>38750</v>
      </c>
      <c r="AK129" s="78">
        <v>21200</v>
      </c>
      <c r="AL129" s="78">
        <v>15750</v>
      </c>
      <c r="AM129" s="78">
        <v>-1800</v>
      </c>
      <c r="AN129" s="78">
        <v>6.92</v>
      </c>
      <c r="AO129" s="77">
        <v>-7.8260869565217397E-2</v>
      </c>
      <c r="AP129" s="77"/>
      <c r="AQ129" s="5"/>
      <c r="AR129" s="5">
        <v>44335</v>
      </c>
      <c r="AS129" s="5">
        <v>2.6945833333333336</v>
      </c>
      <c r="AT129" s="78">
        <v>1.7563124999999999</v>
      </c>
      <c r="AU129" s="78">
        <v>1.0061578947368421</v>
      </c>
      <c r="AV129" s="64">
        <v>1.6926170212765956</v>
      </c>
      <c r="AX129" s="78"/>
      <c r="AY129" s="13">
        <v>43992</v>
      </c>
      <c r="AZ129" s="78" t="e">
        <f t="array" ref="AZ129">INDEX(_xlfn._xlws.FILTER(Table13[],Table13[Days To Maturity]=AZ$3),MATCH($AY129,Table13[Date_d],0),8)</f>
        <v>#REF!</v>
      </c>
      <c r="BA129" s="78" t="e">
        <f t="array" ref="BA129">INDEX(_xlfn._xlws.FILTER(Table13[],Table13[Days To Maturity]=BA$3),MATCH($AY129,Table13[Date_d],0),8)</f>
        <v>#REF!</v>
      </c>
      <c r="BB129" s="78" t="e">
        <f t="array" ref="BB129">INDEX(_xlfn._xlws.FILTER(Table13[],Table13[Days To Maturity]=BB$3),MATCH($AY129,Table13[Date_d],0),8)</f>
        <v>#REF!</v>
      </c>
    </row>
    <row r="130" spans="1:54" x14ac:dyDescent="0.2">
      <c r="A130" s="9">
        <v>43558</v>
      </c>
      <c r="B130" s="10" t="s">
        <v>169</v>
      </c>
      <c r="C130" s="10">
        <v>364</v>
      </c>
      <c r="D130" s="10" t="s">
        <v>20</v>
      </c>
      <c r="E130" s="18">
        <v>20000</v>
      </c>
      <c r="F130" s="18">
        <v>87055</v>
      </c>
      <c r="G130" s="18">
        <v>20000</v>
      </c>
      <c r="H130" s="37">
        <v>10.15</v>
      </c>
      <c r="I130" s="37">
        <v>10.4</v>
      </c>
      <c r="J130" s="32">
        <f t="array" ref="J13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43924</v>
      </c>
      <c r="K130" s="59">
        <f>IFERROR(Table13[[#This Row],[Bid Accepted]]*(Table13[[#This Row],[WAYR Current]]%/364*Table13[[#This Row],[Days To Maturity]]),0)</f>
        <v>2030.0000000000002</v>
      </c>
      <c r="L130" s="41">
        <f>+Table13[[#This Row],[Bid Accepted]]-Table13[[#This Row],[Amount Offered]]</f>
        <v>0</v>
      </c>
      <c r="M130" s="57">
        <f>+IF(Table13[[#This Row],[WAYR Last]]&gt;0,IF(Table13[[#This Row],[WAYR Current]]&gt;0,(Table13[[#This Row],[WAYR Current]]-Table13[[#This Row],[WAYR Last]]),""),"")</f>
        <v>-0.25</v>
      </c>
      <c r="N130" s="23"/>
      <c r="P130" s="67"/>
      <c r="Q130" s="67"/>
      <c r="R130" s="67"/>
      <c r="S130" s="67"/>
      <c r="T130" s="67"/>
      <c r="U130" s="5"/>
      <c r="V130" s="5"/>
      <c r="AG130" s="5"/>
      <c r="AH130" s="13">
        <v>43999</v>
      </c>
      <c r="AI130" s="78">
        <v>23000</v>
      </c>
      <c r="AJ130" s="78">
        <v>133803</v>
      </c>
      <c r="AK130" s="78">
        <v>23000</v>
      </c>
      <c r="AL130" s="78">
        <v>110803</v>
      </c>
      <c r="AM130" s="78">
        <v>0</v>
      </c>
      <c r="AN130" s="78">
        <v>6.62</v>
      </c>
      <c r="AO130" s="77">
        <v>0</v>
      </c>
      <c r="AP130" s="77"/>
      <c r="AQ130" s="5"/>
      <c r="AR130" s="5">
        <v>44340</v>
      </c>
      <c r="AS130" s="5">
        <v>4.1950000000000003</v>
      </c>
      <c r="AT130" s="78">
        <v>1.3301666666666667</v>
      </c>
      <c r="AU130" s="78">
        <v>1.0052631578947369</v>
      </c>
      <c r="AV130" s="64">
        <v>1.7595384615384615</v>
      </c>
      <c r="AX130" s="78"/>
      <c r="AY130" s="13">
        <v>43999</v>
      </c>
      <c r="AZ130" s="78" t="e">
        <f t="array" ref="AZ130">INDEX(_xlfn._xlws.FILTER(Table13[],Table13[Days To Maturity]=AZ$3),MATCH($AY130,Table13[Date_d],0),8)</f>
        <v>#REF!</v>
      </c>
      <c r="BA130" s="78" t="e">
        <f t="array" ref="BA130">INDEX(_xlfn._xlws.FILTER(Table13[],Table13[Days To Maturity]=BA$3),MATCH($AY130,Table13[Date_d],0),8)</f>
        <v>#REF!</v>
      </c>
      <c r="BB130" s="78" t="e">
        <f t="array" ref="BB130">INDEX(_xlfn._xlws.FILTER(Table13[],Table13[Days To Maturity]=BB$3),MATCH($AY130,Table13[Date_d],0),8)</f>
        <v>#REF!</v>
      </c>
    </row>
    <row r="131" spans="1:54" x14ac:dyDescent="0.2">
      <c r="A131" s="9">
        <v>43565</v>
      </c>
      <c r="B131" s="10" t="s">
        <v>170</v>
      </c>
      <c r="C131" s="10">
        <v>91</v>
      </c>
      <c r="D131" s="10" t="s">
        <v>20</v>
      </c>
      <c r="E131" s="18">
        <v>5000</v>
      </c>
      <c r="F131" s="18">
        <v>11550</v>
      </c>
      <c r="G131" s="18">
        <v>5000</v>
      </c>
      <c r="H131" s="37">
        <v>9.09</v>
      </c>
      <c r="I131" s="37">
        <v>9.24</v>
      </c>
      <c r="J131" s="32">
        <f t="array" ref="J13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43656</v>
      </c>
      <c r="K131" s="59">
        <f>IFERROR(Table13[[#This Row],[Bid Accepted]]*(Table13[[#This Row],[WAYR Current]]%/364*Table13[[#This Row],[Days To Maturity]]),0)</f>
        <v>113.625</v>
      </c>
      <c r="L131" s="41">
        <f>+Table13[[#This Row],[Bid Accepted]]-Table13[[#This Row],[Amount Offered]]</f>
        <v>0</v>
      </c>
      <c r="M131" s="57">
        <f>+IF(Table13[[#This Row],[WAYR Last]]&gt;0,IF(Table13[[#This Row],[WAYR Current]]&gt;0,(Table13[[#This Row],[WAYR Current]]-Table13[[#This Row],[WAYR Last]]),""),"")</f>
        <v>-0.15000000000000036</v>
      </c>
      <c r="N131" s="23"/>
      <c r="P131" s="67"/>
      <c r="Q131" s="67"/>
      <c r="R131" s="67"/>
      <c r="S131" s="67"/>
      <c r="T131" s="67"/>
      <c r="U131" s="5"/>
      <c r="V131" s="5"/>
      <c r="AG131" s="5"/>
      <c r="AH131" s="13">
        <v>44006</v>
      </c>
      <c r="AI131" s="78">
        <v>27000</v>
      </c>
      <c r="AJ131" s="78">
        <v>128181</v>
      </c>
      <c r="AK131" s="78">
        <v>27000</v>
      </c>
      <c r="AL131" s="78">
        <v>101181</v>
      </c>
      <c r="AM131" s="78">
        <v>0</v>
      </c>
      <c r="AN131" s="78">
        <v>5.66</v>
      </c>
      <c r="AO131" s="77">
        <v>0</v>
      </c>
      <c r="AP131" s="77"/>
      <c r="AQ131" s="5"/>
      <c r="AR131" s="5">
        <v>44356</v>
      </c>
      <c r="AS131" s="5">
        <v>3.0975999999999999</v>
      </c>
      <c r="AT131" s="78">
        <v>1.0157391304347827</v>
      </c>
      <c r="AU131" s="78">
        <v>1.0031666666666668</v>
      </c>
      <c r="AV131" s="64">
        <v>1.4195098039215686</v>
      </c>
      <c r="AX131" s="78"/>
      <c r="AY131" s="13">
        <v>44006</v>
      </c>
      <c r="AZ131" s="78" t="e">
        <f t="array" ref="AZ131">INDEX(_xlfn._xlws.FILTER(Table13[],Table13[Days To Maturity]=AZ$3),MATCH($AY131,Table13[Date_d],0),8)</f>
        <v>#REF!</v>
      </c>
      <c r="BA131" s="78" t="e">
        <f t="array" ref="BA131">INDEX(_xlfn._xlws.FILTER(Table13[],Table13[Days To Maturity]=BA$3),MATCH($AY131,Table13[Date_d],0),8)</f>
        <v>#REF!</v>
      </c>
      <c r="BB131" s="78" t="e">
        <f t="array" ref="BB131">INDEX(_xlfn._xlws.FILTER(Table13[],Table13[Days To Maturity]=BB$3),MATCH($AY131,Table13[Date_d],0),8)</f>
        <v>#REF!</v>
      </c>
    </row>
    <row r="132" spans="1:54" x14ac:dyDescent="0.2">
      <c r="A132" s="34">
        <v>43565</v>
      </c>
      <c r="B132" s="35" t="s">
        <v>171</v>
      </c>
      <c r="C132" s="35">
        <v>182</v>
      </c>
      <c r="D132" s="35" t="s">
        <v>20</v>
      </c>
      <c r="E132" s="38">
        <v>5000</v>
      </c>
      <c r="F132" s="38">
        <v>13105</v>
      </c>
      <c r="G132" s="38">
        <v>5000</v>
      </c>
      <c r="H132" s="39">
        <v>9.2899999999999991</v>
      </c>
      <c r="I132" s="39">
        <v>9.5</v>
      </c>
      <c r="J132" s="32">
        <f t="array" ref="J13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43748</v>
      </c>
      <c r="K132" s="59">
        <f>IFERROR(Table13[[#This Row],[Bid Accepted]]*(Table13[[#This Row],[WAYR Current]]%/364*Table13[[#This Row],[Days To Maturity]]),0)</f>
        <v>232.25</v>
      </c>
      <c r="L132" s="41">
        <f>+Table13[[#This Row],[Bid Accepted]]-Table13[[#This Row],[Amount Offered]]</f>
        <v>0</v>
      </c>
      <c r="M132" s="57">
        <f>+IF(Table13[[#This Row],[WAYR Last]]&gt;0,IF(Table13[[#This Row],[WAYR Current]]&gt;0,(Table13[[#This Row],[WAYR Current]]-Table13[[#This Row],[WAYR Last]]),""),"")</f>
        <v>-0.21000000000000085</v>
      </c>
      <c r="N132" s="23"/>
      <c r="P132" s="67"/>
      <c r="Q132" s="67"/>
      <c r="R132" s="67"/>
      <c r="S132" s="67"/>
      <c r="T132" s="67"/>
      <c r="U132" s="5"/>
      <c r="V132" s="5"/>
      <c r="AG132" s="5"/>
      <c r="AH132" s="13">
        <v>44013</v>
      </c>
      <c r="AI132" s="78">
        <v>29000</v>
      </c>
      <c r="AJ132" s="78">
        <v>95418</v>
      </c>
      <c r="AK132" s="78">
        <v>29000</v>
      </c>
      <c r="AL132" s="78">
        <v>66418</v>
      </c>
      <c r="AM132" s="78">
        <v>0</v>
      </c>
      <c r="AN132" s="78">
        <v>5.45</v>
      </c>
      <c r="AO132" s="77">
        <v>0</v>
      </c>
      <c r="AP132" s="77"/>
      <c r="AQ132" s="5"/>
      <c r="AR132" s="5">
        <v>44363</v>
      </c>
      <c r="AS132" s="5">
        <v>1.9475</v>
      </c>
      <c r="AT132" s="78">
        <v>1.2337</v>
      </c>
      <c r="AU132" s="78">
        <v>1.0075000000000001</v>
      </c>
      <c r="AV132" s="64">
        <v>1.2859799999999999</v>
      </c>
      <c r="AX132" s="78"/>
      <c r="AY132" s="13">
        <v>44013</v>
      </c>
      <c r="AZ132" s="78" t="e">
        <f t="array" ref="AZ132">INDEX(_xlfn._xlws.FILTER(Table13[],Table13[Days To Maturity]=AZ$3),MATCH($AY132,Table13[Date_d],0),8)</f>
        <v>#REF!</v>
      </c>
      <c r="BA132" s="78" t="e">
        <f t="array" ref="BA132">INDEX(_xlfn._xlws.FILTER(Table13[],Table13[Days To Maturity]=BA$3),MATCH($AY132,Table13[Date_d],0),8)</f>
        <v>#REF!</v>
      </c>
      <c r="BB132" s="78" t="e">
        <f t="array" ref="BB132">INDEX(_xlfn._xlws.FILTER(Table13[],Table13[Days To Maturity]=BB$3),MATCH($AY132,Table13[Date_d],0),8)</f>
        <v>#REF!</v>
      </c>
    </row>
    <row r="133" spans="1:54" x14ac:dyDescent="0.2">
      <c r="A133" s="34">
        <v>43565</v>
      </c>
      <c r="B133" s="35" t="s">
        <v>172</v>
      </c>
      <c r="C133" s="35">
        <v>364</v>
      </c>
      <c r="D133" s="35" t="s">
        <v>20</v>
      </c>
      <c r="E133" s="38">
        <v>15000</v>
      </c>
      <c r="F133" s="38">
        <v>53772</v>
      </c>
      <c r="G133" s="38">
        <v>15000</v>
      </c>
      <c r="H133" s="39">
        <v>9.99</v>
      </c>
      <c r="I133" s="39">
        <v>10.15</v>
      </c>
      <c r="J133" s="32">
        <f t="array" ref="J13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43931</v>
      </c>
      <c r="K133" s="59">
        <f>IFERROR(Table13[[#This Row],[Bid Accepted]]*(Table13[[#This Row],[WAYR Current]]%/364*Table13[[#This Row],[Days To Maturity]]),0)</f>
        <v>1498.4999999999998</v>
      </c>
      <c r="L133" s="41">
        <f>+Table13[[#This Row],[Bid Accepted]]-Table13[[#This Row],[Amount Offered]]</f>
        <v>0</v>
      </c>
      <c r="M133" s="57">
        <f>+IF(Table13[[#This Row],[WAYR Last]]&gt;0,IF(Table13[[#This Row],[WAYR Current]]&gt;0,(Table13[[#This Row],[WAYR Current]]-Table13[[#This Row],[WAYR Last]]),""),"")</f>
        <v>-0.16000000000000014</v>
      </c>
      <c r="N133" s="23"/>
      <c r="P133" s="67"/>
      <c r="Q133" s="67"/>
      <c r="R133" s="67"/>
      <c r="S133" s="67"/>
      <c r="T133" s="67"/>
      <c r="U133" s="5"/>
      <c r="V133" s="5"/>
      <c r="AG133" s="5"/>
      <c r="AH133" s="13">
        <v>44020</v>
      </c>
      <c r="AI133" s="78">
        <v>28500</v>
      </c>
      <c r="AJ133" s="78">
        <v>61025</v>
      </c>
      <c r="AK133" s="78">
        <v>28500</v>
      </c>
      <c r="AL133" s="78">
        <v>32525</v>
      </c>
      <c r="AM133" s="78">
        <v>0</v>
      </c>
      <c r="AN133" s="78">
        <v>5.32</v>
      </c>
      <c r="AO133" s="77">
        <v>0</v>
      </c>
      <c r="AP133" s="77"/>
      <c r="AQ133" s="5"/>
      <c r="AR133" s="5">
        <v>44369</v>
      </c>
      <c r="AS133" s="5">
        <v>2.6004999999999998</v>
      </c>
      <c r="AT133" s="78">
        <v>1.0514285714285714</v>
      </c>
      <c r="AU133" s="78">
        <v>1.0042857142857142</v>
      </c>
      <c r="AV133" s="64">
        <v>1.3773333333333333</v>
      </c>
      <c r="AX133" s="78"/>
      <c r="AY133" s="13">
        <v>44020</v>
      </c>
      <c r="AZ133" s="78" t="e">
        <f t="array" ref="AZ133">INDEX(_xlfn._xlws.FILTER(Table13[],Table13[Days To Maturity]=AZ$3),MATCH($AY133,Table13[Date_d],0),8)</f>
        <v>#REF!</v>
      </c>
      <c r="BA133" s="78" t="e">
        <f t="array" ref="BA133">INDEX(_xlfn._xlws.FILTER(Table13[],Table13[Days To Maturity]=BA$3),MATCH($AY133,Table13[Date_d],0),8)</f>
        <v>#REF!</v>
      </c>
      <c r="BB133" s="78" t="e">
        <f t="array" ref="BB133">INDEX(_xlfn._xlws.FILTER(Table13[],Table13[Days To Maturity]=BB$3),MATCH($AY133,Table13[Date_d],0),8)</f>
        <v>#REF!</v>
      </c>
    </row>
    <row r="134" spans="1:54" x14ac:dyDescent="0.2">
      <c r="A134" s="34">
        <v>43571</v>
      </c>
      <c r="B134" s="35" t="s">
        <v>173</v>
      </c>
      <c r="C134" s="35">
        <v>91</v>
      </c>
      <c r="D134" s="35" t="s">
        <v>20</v>
      </c>
      <c r="E134" s="38">
        <v>4000</v>
      </c>
      <c r="F134" s="38">
        <v>9400</v>
      </c>
      <c r="G134" s="38">
        <v>4000</v>
      </c>
      <c r="H134" s="39">
        <v>9</v>
      </c>
      <c r="I134" s="39">
        <v>9.09</v>
      </c>
      <c r="J134" s="32">
        <f t="array" ref="J13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43662</v>
      </c>
      <c r="K134" s="59">
        <f>IFERROR(Table13[[#This Row],[Bid Accepted]]*(Table13[[#This Row],[WAYR Current]]%/364*Table13[[#This Row],[Days To Maturity]]),0)</f>
        <v>90</v>
      </c>
      <c r="L134" s="41">
        <f>+Table13[[#This Row],[Bid Accepted]]-Table13[[#This Row],[Amount Offered]]</f>
        <v>0</v>
      </c>
      <c r="M134" s="57">
        <f>+IF(Table13[[#This Row],[WAYR Last]]&gt;0,IF(Table13[[#This Row],[WAYR Current]]&gt;0,(Table13[[#This Row],[WAYR Current]]-Table13[[#This Row],[WAYR Last]]),""),"")</f>
        <v>-8.9999999999999858E-2</v>
      </c>
      <c r="N134" s="23"/>
      <c r="P134" s="67"/>
      <c r="Q134" s="67"/>
      <c r="R134" s="67"/>
      <c r="S134" s="67"/>
      <c r="T134" s="67"/>
      <c r="U134" s="5"/>
      <c r="V134" s="5"/>
      <c r="AG134" s="5"/>
      <c r="AH134" s="13">
        <v>44027</v>
      </c>
      <c r="AI134" s="78">
        <v>29500</v>
      </c>
      <c r="AJ134" s="78">
        <v>118031</v>
      </c>
      <c r="AK134" s="78">
        <v>29500</v>
      </c>
      <c r="AL134" s="78">
        <v>88531</v>
      </c>
      <c r="AM134" s="78">
        <v>0</v>
      </c>
      <c r="AN134" s="78">
        <v>4.91</v>
      </c>
      <c r="AO134" s="77">
        <v>0</v>
      </c>
      <c r="AP134" s="77"/>
      <c r="AQ134" s="5"/>
      <c r="AR134" s="5">
        <v>44377</v>
      </c>
      <c r="AS134" s="5">
        <v>4.4297142857142857</v>
      </c>
      <c r="AT134" s="78">
        <v>1.0141333333333333</v>
      </c>
      <c r="AU134" s="78">
        <v>1</v>
      </c>
      <c r="AV134" s="64">
        <v>1.6545945945945946</v>
      </c>
      <c r="AX134" s="78"/>
      <c r="AY134" s="13">
        <v>44027</v>
      </c>
      <c r="AZ134" s="78" t="e">
        <f t="array" ref="AZ134">INDEX(_xlfn._xlws.FILTER(Table13[],Table13[Days To Maturity]=AZ$3),MATCH($AY134,Table13[Date_d],0),8)</f>
        <v>#REF!</v>
      </c>
      <c r="BA134" s="78" t="e">
        <f t="array" ref="BA134">INDEX(_xlfn._xlws.FILTER(Table13[],Table13[Days To Maturity]=BA$3),MATCH($AY134,Table13[Date_d],0),8)</f>
        <v>#REF!</v>
      </c>
      <c r="BB134" s="78" t="e">
        <f t="array" ref="BB134">INDEX(_xlfn._xlws.FILTER(Table13[],Table13[Days To Maturity]=BB$3),MATCH($AY134,Table13[Date_d],0),8)</f>
        <v>#REF!</v>
      </c>
    </row>
    <row r="135" spans="1:54" x14ac:dyDescent="0.2">
      <c r="A135" s="9">
        <v>43571</v>
      </c>
      <c r="B135" s="10" t="s">
        <v>174</v>
      </c>
      <c r="C135" s="10">
        <v>182</v>
      </c>
      <c r="D135" s="10" t="s">
        <v>20</v>
      </c>
      <c r="E135" s="18">
        <v>5000</v>
      </c>
      <c r="F135" s="18">
        <v>11604</v>
      </c>
      <c r="G135" s="18">
        <v>5000</v>
      </c>
      <c r="H135" s="37">
        <v>9.19</v>
      </c>
      <c r="I135" s="37">
        <v>9.2899999999999991</v>
      </c>
      <c r="J135" s="32">
        <f t="array" ref="J13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43754</v>
      </c>
      <c r="K135" s="59">
        <f>IFERROR(Table13[[#This Row],[Bid Accepted]]*(Table13[[#This Row],[WAYR Current]]%/364*Table13[[#This Row],[Days To Maturity]]),0)</f>
        <v>229.75</v>
      </c>
      <c r="L135" s="41">
        <f>+Table13[[#This Row],[Bid Accepted]]-Table13[[#This Row],[Amount Offered]]</f>
        <v>0</v>
      </c>
      <c r="M135" s="57">
        <f>+IF(Table13[[#This Row],[WAYR Last]]&gt;0,IF(Table13[[#This Row],[WAYR Current]]&gt;0,(Table13[[#This Row],[WAYR Current]]-Table13[[#This Row],[WAYR Last]]),""),"")</f>
        <v>-9.9999999999999645E-2</v>
      </c>
      <c r="N135" s="23"/>
      <c r="P135" s="67"/>
      <c r="Q135" s="67"/>
      <c r="R135" s="67"/>
      <c r="S135" s="67"/>
      <c r="T135" s="67"/>
      <c r="U135" s="5"/>
      <c r="V135" s="5"/>
      <c r="AG135" s="5"/>
      <c r="AH135" s="13">
        <v>44034</v>
      </c>
      <c r="AI135" s="78">
        <v>35100</v>
      </c>
      <c r="AJ135" s="78">
        <v>64261</v>
      </c>
      <c r="AK135" s="78">
        <v>35100</v>
      </c>
      <c r="AL135" s="78">
        <v>29161</v>
      </c>
      <c r="AM135" s="78">
        <v>0</v>
      </c>
      <c r="AN135" s="78">
        <v>4.8600000000000003</v>
      </c>
      <c r="AO135" s="77">
        <v>0</v>
      </c>
      <c r="AP135" s="77"/>
      <c r="AQ135" s="5"/>
      <c r="AR135" s="5">
        <v>44384</v>
      </c>
      <c r="AS135" s="5">
        <v>3.1146666666666665</v>
      </c>
      <c r="AT135" s="78">
        <v>1.004</v>
      </c>
      <c r="AU135" s="78">
        <v>1.0021212121212122</v>
      </c>
      <c r="AV135" s="64">
        <v>1.6629375</v>
      </c>
      <c r="AX135" s="78"/>
      <c r="AY135" s="13">
        <v>44034</v>
      </c>
      <c r="AZ135" s="78" t="e">
        <f t="array" ref="AZ135">INDEX(_xlfn._xlws.FILTER(Table13[],Table13[Days To Maturity]=AZ$3),MATCH($AY135,Table13[Date_d],0),8)</f>
        <v>#REF!</v>
      </c>
      <c r="BA135" s="78" t="e">
        <f t="array" ref="BA135">INDEX(_xlfn._xlws.FILTER(Table13[],Table13[Days To Maturity]=BA$3),MATCH($AY135,Table13[Date_d],0),8)</f>
        <v>#REF!</v>
      </c>
      <c r="BB135" s="78" t="e">
        <f t="array" ref="BB135">INDEX(_xlfn._xlws.FILTER(Table13[],Table13[Days To Maturity]=BB$3),MATCH($AY135,Table13[Date_d],0),8)</f>
        <v>#REF!</v>
      </c>
    </row>
    <row r="136" spans="1:54" x14ac:dyDescent="0.2">
      <c r="A136" s="9">
        <v>43571</v>
      </c>
      <c r="B136" s="10" t="s">
        <v>175</v>
      </c>
      <c r="C136" s="10">
        <v>364</v>
      </c>
      <c r="D136" s="10" t="s">
        <v>20</v>
      </c>
      <c r="E136" s="18">
        <v>15000</v>
      </c>
      <c r="F136" s="18">
        <v>54953</v>
      </c>
      <c r="G136" s="18">
        <v>15000</v>
      </c>
      <c r="H136" s="37">
        <v>9.91</v>
      </c>
      <c r="I136" s="37">
        <v>9.99</v>
      </c>
      <c r="J136" s="32">
        <f t="array" ref="J13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43937</v>
      </c>
      <c r="K136" s="59">
        <f>IFERROR(Table13[[#This Row],[Bid Accepted]]*(Table13[[#This Row],[WAYR Current]]%/364*Table13[[#This Row],[Days To Maturity]]),0)</f>
        <v>1486.5</v>
      </c>
      <c r="L136" s="41">
        <f>+Table13[[#This Row],[Bid Accepted]]-Table13[[#This Row],[Amount Offered]]</f>
        <v>0</v>
      </c>
      <c r="M136" s="57">
        <f>+IF(Table13[[#This Row],[WAYR Last]]&gt;0,IF(Table13[[#This Row],[WAYR Current]]&gt;0,(Table13[[#This Row],[WAYR Current]]-Table13[[#This Row],[WAYR Last]]),""),"")</f>
        <v>-8.0000000000000071E-2</v>
      </c>
      <c r="N136" s="23"/>
      <c r="P136" s="67"/>
      <c r="Q136" s="67"/>
      <c r="R136" s="67"/>
      <c r="S136" s="67"/>
      <c r="T136" s="67"/>
      <c r="U136" s="5"/>
      <c r="V136" s="5"/>
      <c r="AG136" s="5"/>
      <c r="AH136" s="13">
        <v>44041</v>
      </c>
      <c r="AI136" s="78">
        <v>39500</v>
      </c>
      <c r="AJ136" s="78">
        <v>46963</v>
      </c>
      <c r="AK136" s="78">
        <v>11963</v>
      </c>
      <c r="AL136" s="78">
        <v>7463</v>
      </c>
      <c r="AM136" s="78">
        <v>-27537</v>
      </c>
      <c r="AN136" s="78">
        <v>4.8600000000000003</v>
      </c>
      <c r="AO136" s="77">
        <v>-0.69713924050632914</v>
      </c>
      <c r="AP136" s="77"/>
      <c r="AQ136" s="5"/>
      <c r="AR136" s="5">
        <v>44391</v>
      </c>
      <c r="AS136" s="5">
        <v>4.2783333333333333</v>
      </c>
      <c r="AT136" s="78">
        <v>1.2617021276595746</v>
      </c>
      <c r="AU136" s="78">
        <v>1.0017142857142858</v>
      </c>
      <c r="AV136" s="64">
        <v>1.9884821428571429</v>
      </c>
      <c r="AX136" s="78"/>
      <c r="AY136" s="13">
        <v>44041</v>
      </c>
      <c r="AZ136" s="78" t="e">
        <f t="array" ref="AZ136">INDEX(_xlfn._xlws.FILTER(Table13[],Table13[Days To Maturity]=AZ$3),MATCH($AY136,Table13[Date_d],0),8)</f>
        <v>#REF!</v>
      </c>
      <c r="BA136" s="78" t="e">
        <f t="array" ref="BA136">INDEX(_xlfn._xlws.FILTER(Table13[],Table13[Days To Maturity]=BA$3),MATCH($AY136,Table13[Date_d],0),8)</f>
        <v>#REF!</v>
      </c>
      <c r="BB136" s="78" t="e">
        <f t="array" ref="BB136">INDEX(_xlfn._xlws.FILTER(Table13[],Table13[Days To Maturity]=BB$3),MATCH($AY136,Table13[Date_d],0),8)</f>
        <v>#REF!</v>
      </c>
    </row>
    <row r="137" spans="1:54" x14ac:dyDescent="0.2">
      <c r="A137" s="9">
        <v>43579</v>
      </c>
      <c r="B137" s="10" t="s">
        <v>176</v>
      </c>
      <c r="C137" s="10">
        <v>91</v>
      </c>
      <c r="D137" s="10" t="s">
        <v>20</v>
      </c>
      <c r="E137" s="18">
        <v>4000</v>
      </c>
      <c r="F137" s="18">
        <v>8400</v>
      </c>
      <c r="G137" s="18">
        <v>4000</v>
      </c>
      <c r="H137" s="37">
        <v>8.94</v>
      </c>
      <c r="I137" s="37">
        <v>9</v>
      </c>
      <c r="J137" s="32">
        <f t="array" ref="J13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43670</v>
      </c>
      <c r="K137" s="59">
        <f>IFERROR(Table13[[#This Row],[Bid Accepted]]*(Table13[[#This Row],[WAYR Current]]%/364*Table13[[#This Row],[Days To Maturity]]),0)</f>
        <v>89.4</v>
      </c>
      <c r="L137" s="41">
        <f>+Table13[[#This Row],[Bid Accepted]]-Table13[[#This Row],[Amount Offered]]</f>
        <v>0</v>
      </c>
      <c r="M137" s="57">
        <f>+IF(Table13[[#This Row],[WAYR Last]]&gt;0,IF(Table13[[#This Row],[WAYR Current]]&gt;0,(Table13[[#This Row],[WAYR Current]]-Table13[[#This Row],[WAYR Last]]),""),"")</f>
        <v>-6.0000000000000497E-2</v>
      </c>
      <c r="N137" s="23"/>
      <c r="P137" s="67"/>
      <c r="Q137" s="67"/>
      <c r="R137" s="67"/>
      <c r="S137" s="67"/>
      <c r="T137" s="67"/>
      <c r="U137" s="5"/>
      <c r="V137" s="5"/>
      <c r="AG137" s="5"/>
      <c r="AH137" s="13">
        <v>44048</v>
      </c>
      <c r="AI137" s="78">
        <v>35500</v>
      </c>
      <c r="AJ137" s="78">
        <v>59510</v>
      </c>
      <c r="AK137" s="78">
        <v>24710</v>
      </c>
      <c r="AL137" s="78">
        <v>24010</v>
      </c>
      <c r="AM137" s="78">
        <v>-10790</v>
      </c>
      <c r="AN137" s="78">
        <v>4.9400000000000004</v>
      </c>
      <c r="AO137" s="77">
        <v>-0.30394366197183098</v>
      </c>
      <c r="AP137" s="77"/>
      <c r="AQ137" s="5"/>
      <c r="AR137" s="5">
        <v>44394</v>
      </c>
      <c r="AS137" s="5">
        <v>2.5615833333333335</v>
      </c>
      <c r="AT137" s="78">
        <v>1.0018499999999999</v>
      </c>
      <c r="AU137" s="78">
        <v>1</v>
      </c>
      <c r="AV137" s="64">
        <v>1.586171875</v>
      </c>
      <c r="AX137" s="78"/>
      <c r="AY137" s="13">
        <v>44048</v>
      </c>
      <c r="AZ137" s="78" t="e">
        <f t="array" ref="AZ137">INDEX(_xlfn._xlws.FILTER(Table13[],Table13[Days To Maturity]=AZ$3),MATCH($AY137,Table13[Date_d],0),8)</f>
        <v>#REF!</v>
      </c>
      <c r="BA137" s="78" t="e">
        <f t="array" ref="BA137">INDEX(_xlfn._xlws.FILTER(Table13[],Table13[Days To Maturity]=BA$3),MATCH($AY137,Table13[Date_d],0),8)</f>
        <v>#REF!</v>
      </c>
      <c r="BB137" s="78" t="e">
        <f t="array" ref="BB137">INDEX(_xlfn._xlws.FILTER(Table13[],Table13[Days To Maturity]=BB$3),MATCH($AY137,Table13[Date_d],0),8)</f>
        <v>#REF!</v>
      </c>
    </row>
    <row r="138" spans="1:54" x14ac:dyDescent="0.2">
      <c r="A138" s="34">
        <v>43579</v>
      </c>
      <c r="B138" s="35" t="s">
        <v>177</v>
      </c>
      <c r="C138" s="35">
        <v>182</v>
      </c>
      <c r="D138" s="35" t="s">
        <v>20</v>
      </c>
      <c r="E138" s="38">
        <v>5000</v>
      </c>
      <c r="F138" s="38">
        <v>10500</v>
      </c>
      <c r="G138" s="38">
        <v>5000</v>
      </c>
      <c r="H138" s="39">
        <v>9.14</v>
      </c>
      <c r="I138" s="39">
        <v>9.19</v>
      </c>
      <c r="J138" s="32">
        <f t="array" ref="J13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43762</v>
      </c>
      <c r="K138" s="59">
        <f>IFERROR(Table13[[#This Row],[Bid Accepted]]*(Table13[[#This Row],[WAYR Current]]%/364*Table13[[#This Row],[Days To Maturity]]),0)</f>
        <v>228.50000000000003</v>
      </c>
      <c r="L138" s="41">
        <f>+Table13[[#This Row],[Bid Accepted]]-Table13[[#This Row],[Amount Offered]]</f>
        <v>0</v>
      </c>
      <c r="M138" s="57">
        <f>+IF(Table13[[#This Row],[WAYR Last]]&gt;0,IF(Table13[[#This Row],[WAYR Current]]&gt;0,(Table13[[#This Row],[WAYR Current]]-Table13[[#This Row],[WAYR Last]]),""),"")</f>
        <v>-4.9999999999998934E-2</v>
      </c>
      <c r="N138" s="23"/>
      <c r="P138" s="67"/>
      <c r="Q138" s="67"/>
      <c r="R138" s="67"/>
      <c r="S138" s="67"/>
      <c r="T138" s="67"/>
      <c r="U138" s="5"/>
      <c r="V138" s="5"/>
      <c r="AG138" s="5"/>
      <c r="AH138" s="13">
        <v>44055</v>
      </c>
      <c r="AI138" s="78">
        <v>36500</v>
      </c>
      <c r="AJ138" s="78">
        <v>65482</v>
      </c>
      <c r="AK138" s="78">
        <v>36500</v>
      </c>
      <c r="AL138" s="78">
        <v>28982</v>
      </c>
      <c r="AM138" s="78">
        <v>0</v>
      </c>
      <c r="AN138" s="78">
        <v>4.93</v>
      </c>
      <c r="AO138" s="77">
        <v>0</v>
      </c>
      <c r="AP138" s="77"/>
      <c r="AQ138" s="5"/>
      <c r="AR138" s="5">
        <v>44396</v>
      </c>
      <c r="AS138" s="5">
        <v>2.5615833333333335</v>
      </c>
      <c r="AT138" s="78">
        <v>1.0018499999999999</v>
      </c>
      <c r="AU138" s="78">
        <v>1</v>
      </c>
      <c r="AV138" s="64">
        <v>1.586171875</v>
      </c>
      <c r="AX138" s="78"/>
      <c r="AY138" s="13">
        <v>44055</v>
      </c>
      <c r="AZ138" s="78" t="e">
        <f t="array" ref="AZ138">INDEX(_xlfn._xlws.FILTER(Table13[],Table13[Days To Maturity]=AZ$3),MATCH($AY138,Table13[Date_d],0),8)</f>
        <v>#REF!</v>
      </c>
      <c r="BA138" s="78" t="e">
        <f t="array" ref="BA138">INDEX(_xlfn._xlws.FILTER(Table13[],Table13[Days To Maturity]=BA$3),MATCH($AY138,Table13[Date_d],0),8)</f>
        <v>#REF!</v>
      </c>
      <c r="BB138" s="78" t="e">
        <f t="array" ref="BB138">INDEX(_xlfn._xlws.FILTER(Table13[],Table13[Days To Maturity]=BB$3),MATCH($AY138,Table13[Date_d],0),8)</f>
        <v>#REF!</v>
      </c>
    </row>
    <row r="139" spans="1:54" x14ac:dyDescent="0.2">
      <c r="A139" s="34">
        <v>43579</v>
      </c>
      <c r="B139" s="35" t="s">
        <v>178</v>
      </c>
      <c r="C139" s="35">
        <v>364</v>
      </c>
      <c r="D139" s="35" t="s">
        <v>20</v>
      </c>
      <c r="E139" s="38">
        <v>16000</v>
      </c>
      <c r="F139" s="38">
        <v>45282</v>
      </c>
      <c r="G139" s="38">
        <v>16000</v>
      </c>
      <c r="H139" s="39">
        <v>9.91</v>
      </c>
      <c r="I139" s="39">
        <v>9.91</v>
      </c>
      <c r="J139" s="32">
        <f t="array" ref="J13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43945</v>
      </c>
      <c r="K139" s="59">
        <f>IFERROR(Table13[[#This Row],[Bid Accepted]]*(Table13[[#This Row],[WAYR Current]]%/364*Table13[[#This Row],[Days To Maturity]]),0)</f>
        <v>1585.6000000000001</v>
      </c>
      <c r="L139" s="41">
        <f>+Table13[[#This Row],[Bid Accepted]]-Table13[[#This Row],[Amount Offered]]</f>
        <v>0</v>
      </c>
      <c r="M139" s="57">
        <f>+IF(Table13[[#This Row],[WAYR Last]]&gt;0,IF(Table13[[#This Row],[WAYR Current]]&gt;0,(Table13[[#This Row],[WAYR Current]]-Table13[[#This Row],[WAYR Last]]),""),"")</f>
        <v>0</v>
      </c>
      <c r="N139" s="23"/>
      <c r="P139" s="67"/>
      <c r="Q139" s="67"/>
      <c r="R139" s="67"/>
      <c r="S139" s="67"/>
      <c r="T139" s="67"/>
      <c r="U139" s="5"/>
      <c r="V139" s="5"/>
      <c r="AG139" s="5"/>
      <c r="AH139" s="13">
        <v>44062</v>
      </c>
      <c r="AI139" s="78">
        <v>40000</v>
      </c>
      <c r="AJ139" s="78">
        <v>117277</v>
      </c>
      <c r="AK139" s="78">
        <v>40000</v>
      </c>
      <c r="AL139" s="78">
        <v>77277</v>
      </c>
      <c r="AM139" s="78">
        <v>0</v>
      </c>
      <c r="AN139" s="78">
        <v>4.9000000000000004</v>
      </c>
      <c r="AO139" s="77">
        <v>0</v>
      </c>
      <c r="AP139" s="77"/>
      <c r="AQ139" s="5"/>
      <c r="AR139" s="5">
        <v>44405</v>
      </c>
      <c r="AS139" s="5">
        <v>2.2309333333333332</v>
      </c>
      <c r="AT139" s="78">
        <v>1.0023124999999999</v>
      </c>
      <c r="AU139" s="78">
        <v>1.0030303030303029</v>
      </c>
      <c r="AV139" s="64">
        <v>1.3905473684210525</v>
      </c>
      <c r="AX139" s="78"/>
      <c r="AY139" s="13">
        <v>44062</v>
      </c>
      <c r="AZ139" s="78" t="e">
        <f t="array" ref="AZ139">INDEX(_xlfn._xlws.FILTER(Table13[],Table13[Days To Maturity]=AZ$3),MATCH($AY139,Table13[Date_d],0),8)</f>
        <v>#REF!</v>
      </c>
      <c r="BA139" s="78" t="e">
        <f t="array" ref="BA139">INDEX(_xlfn._xlws.FILTER(Table13[],Table13[Days To Maturity]=BA$3),MATCH($AY139,Table13[Date_d],0),8)</f>
        <v>#REF!</v>
      </c>
      <c r="BB139" s="78" t="e">
        <f t="array" ref="BB139">INDEX(_xlfn._xlws.FILTER(Table13[],Table13[Days To Maturity]=BB$3),MATCH($AY139,Table13[Date_d],0),8)</f>
        <v>#REF!</v>
      </c>
    </row>
    <row r="140" spans="1:54" x14ac:dyDescent="0.2">
      <c r="A140" s="34">
        <v>43585</v>
      </c>
      <c r="B140" s="35" t="s">
        <v>179</v>
      </c>
      <c r="C140" s="35">
        <v>91</v>
      </c>
      <c r="D140" s="35" t="s">
        <v>20</v>
      </c>
      <c r="E140" s="38">
        <v>3000</v>
      </c>
      <c r="F140" s="38">
        <v>6650</v>
      </c>
      <c r="G140" s="38">
        <v>3000</v>
      </c>
      <c r="H140" s="39">
        <v>8.89</v>
      </c>
      <c r="I140" s="39">
        <v>8.94</v>
      </c>
      <c r="J140" s="32">
        <f t="array" ref="J14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43676</v>
      </c>
      <c r="K140" s="59">
        <f>IFERROR(Table13[[#This Row],[Bid Accepted]]*(Table13[[#This Row],[WAYR Current]]%/364*Table13[[#This Row],[Days To Maturity]]),0)</f>
        <v>66.675000000000011</v>
      </c>
      <c r="L140" s="41">
        <f>+Table13[[#This Row],[Bid Accepted]]-Table13[[#This Row],[Amount Offered]]</f>
        <v>0</v>
      </c>
      <c r="M140" s="57">
        <f>+IF(Table13[[#This Row],[WAYR Last]]&gt;0,IF(Table13[[#This Row],[WAYR Current]]&gt;0,(Table13[[#This Row],[WAYR Current]]-Table13[[#This Row],[WAYR Last]]),""),"")</f>
        <v>-4.9999999999998934E-2</v>
      </c>
      <c r="N140" s="23"/>
      <c r="P140" s="67"/>
      <c r="Q140" s="67"/>
      <c r="R140" s="67"/>
      <c r="S140" s="67"/>
      <c r="T140" s="67"/>
      <c r="U140" s="5"/>
      <c r="V140" s="5"/>
      <c r="AG140" s="5"/>
      <c r="AH140" s="13">
        <v>44069</v>
      </c>
      <c r="AI140" s="78">
        <v>40000</v>
      </c>
      <c r="AJ140" s="78">
        <v>76605</v>
      </c>
      <c r="AK140" s="78">
        <v>40000</v>
      </c>
      <c r="AL140" s="78">
        <v>36605</v>
      </c>
      <c r="AM140" s="78">
        <v>0</v>
      </c>
      <c r="AN140" s="78">
        <v>4.8899999999999997</v>
      </c>
      <c r="AO140" s="77">
        <v>0</v>
      </c>
      <c r="AP140" s="77"/>
      <c r="AQ140" s="5"/>
      <c r="AR140" s="5">
        <v>44412</v>
      </c>
      <c r="AS140" s="5">
        <v>2.9910714285714284</v>
      </c>
      <c r="AT140" s="78">
        <v>1.1180000000000001</v>
      </c>
      <c r="AU140" s="78">
        <v>1.0059285714285715</v>
      </c>
      <c r="AV140" s="64">
        <v>1.6539565217391303</v>
      </c>
      <c r="AX140" s="78"/>
      <c r="AY140" s="13">
        <v>44069</v>
      </c>
      <c r="AZ140" s="78" t="e">
        <f t="array" ref="AZ140">INDEX(_xlfn._xlws.FILTER(Table13[],Table13[Days To Maturity]=AZ$3),MATCH($AY140,Table13[Date_d],0),8)</f>
        <v>#REF!</v>
      </c>
      <c r="BA140" s="78" t="e">
        <f t="array" ref="BA140">INDEX(_xlfn._xlws.FILTER(Table13[],Table13[Days To Maturity]=BA$3),MATCH($AY140,Table13[Date_d],0),8)</f>
        <v>#REF!</v>
      </c>
      <c r="BB140" s="78" t="e">
        <f t="array" ref="BB140">INDEX(_xlfn._xlws.FILTER(Table13[],Table13[Days To Maturity]=BB$3),MATCH($AY140,Table13[Date_d],0),8)</f>
        <v>#REF!</v>
      </c>
    </row>
    <row r="141" spans="1:54" x14ac:dyDescent="0.2">
      <c r="A141" s="9">
        <v>43585</v>
      </c>
      <c r="B141" s="10" t="s">
        <v>180</v>
      </c>
      <c r="C141" s="10">
        <v>182</v>
      </c>
      <c r="D141" s="10" t="s">
        <v>20</v>
      </c>
      <c r="E141" s="18">
        <v>6000</v>
      </c>
      <c r="F141" s="18">
        <v>12793</v>
      </c>
      <c r="G141" s="18">
        <v>6000</v>
      </c>
      <c r="H141" s="37">
        <v>9.09</v>
      </c>
      <c r="I141" s="37">
        <v>9.14</v>
      </c>
      <c r="J141" s="32">
        <f t="array" ref="J14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43768</v>
      </c>
      <c r="K141" s="59">
        <f>IFERROR(Table13[[#This Row],[Bid Accepted]]*(Table13[[#This Row],[WAYR Current]]%/364*Table13[[#This Row],[Days To Maturity]]),0)</f>
        <v>272.7</v>
      </c>
      <c r="L141" s="41">
        <f>+Table13[[#This Row],[Bid Accepted]]-Table13[[#This Row],[Amount Offered]]</f>
        <v>0</v>
      </c>
      <c r="M141" s="57">
        <f>+IF(Table13[[#This Row],[WAYR Last]]&gt;0,IF(Table13[[#This Row],[WAYR Current]]&gt;0,(Table13[[#This Row],[WAYR Current]]-Table13[[#This Row],[WAYR Last]]),""),"")</f>
        <v>-5.0000000000000711E-2</v>
      </c>
      <c r="N141" s="23"/>
      <c r="P141" s="67"/>
      <c r="Q141" s="67"/>
      <c r="R141" s="67"/>
      <c r="S141" s="67"/>
      <c r="T141" s="67"/>
      <c r="U141" s="5"/>
      <c r="V141" s="5"/>
      <c r="AG141" s="5"/>
      <c r="AH141" s="13">
        <v>44076</v>
      </c>
      <c r="AI141" s="78">
        <v>40000</v>
      </c>
      <c r="AJ141" s="78">
        <v>64711</v>
      </c>
      <c r="AK141" s="78">
        <v>39761</v>
      </c>
      <c r="AL141" s="78">
        <v>24711</v>
      </c>
      <c r="AM141" s="78">
        <v>-239</v>
      </c>
      <c r="AN141" s="78">
        <v>4.8899999999999997</v>
      </c>
      <c r="AO141" s="77">
        <v>-5.9750000000000003E-3</v>
      </c>
      <c r="AP141" s="77"/>
      <c r="AQ141" s="5"/>
      <c r="AR141" s="5">
        <v>44419</v>
      </c>
      <c r="AS141" s="5">
        <v>4.1081250000000002</v>
      </c>
      <c r="AT141" s="78">
        <v>1.1333</v>
      </c>
      <c r="AU141" s="78">
        <v>1.0007999999999999</v>
      </c>
      <c r="AV141" s="64">
        <v>1.8592786885245902</v>
      </c>
      <c r="AX141" s="78"/>
      <c r="AY141" s="13">
        <v>44076</v>
      </c>
      <c r="AZ141" s="78" t="e">
        <f t="array" ref="AZ141">INDEX(_xlfn._xlws.FILTER(Table13[],Table13[Days To Maturity]=AZ$3),MATCH($AY141,Table13[Date_d],0),8)</f>
        <v>#REF!</v>
      </c>
      <c r="BA141" s="78" t="e">
        <f t="array" ref="BA141">INDEX(_xlfn._xlws.FILTER(Table13[],Table13[Days To Maturity]=BA$3),MATCH($AY141,Table13[Date_d],0),8)</f>
        <v>#REF!</v>
      </c>
      <c r="BB141" s="78" t="e">
        <f t="array" ref="BB141">INDEX(_xlfn._xlws.FILTER(Table13[],Table13[Days To Maturity]=BB$3),MATCH($AY141,Table13[Date_d],0),8)</f>
        <v>#REF!</v>
      </c>
    </row>
    <row r="142" spans="1:54" x14ac:dyDescent="0.2">
      <c r="A142" s="9">
        <v>43585</v>
      </c>
      <c r="B142" s="10" t="s">
        <v>181</v>
      </c>
      <c r="C142" s="10">
        <v>364</v>
      </c>
      <c r="D142" s="10" t="s">
        <v>20</v>
      </c>
      <c r="E142" s="18">
        <v>18000</v>
      </c>
      <c r="F142" s="18">
        <v>67931</v>
      </c>
      <c r="G142" s="18">
        <v>18000</v>
      </c>
      <c r="H142" s="37">
        <v>9.81</v>
      </c>
      <c r="I142" s="37">
        <v>9.91</v>
      </c>
      <c r="J142" s="32">
        <f t="array" ref="J14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43951</v>
      </c>
      <c r="K142" s="59">
        <f>IFERROR(Table13[[#This Row],[Bid Accepted]]*(Table13[[#This Row],[WAYR Current]]%/364*Table13[[#This Row],[Days To Maturity]]),0)</f>
        <v>1765.8000000000002</v>
      </c>
      <c r="L142" s="41">
        <f>+Table13[[#This Row],[Bid Accepted]]-Table13[[#This Row],[Amount Offered]]</f>
        <v>0</v>
      </c>
      <c r="M142" s="57">
        <f>+IF(Table13[[#This Row],[WAYR Last]]&gt;0,IF(Table13[[#This Row],[WAYR Current]]&gt;0,(Table13[[#This Row],[WAYR Current]]-Table13[[#This Row],[WAYR Last]]),""),"")</f>
        <v>-9.9999999999999645E-2</v>
      </c>
      <c r="N142" s="23"/>
      <c r="P142" s="67"/>
      <c r="Q142" s="67"/>
      <c r="R142" s="67"/>
      <c r="S142" s="67"/>
      <c r="T142" s="67"/>
      <c r="U142" s="5"/>
      <c r="V142" s="5"/>
      <c r="AG142" s="5"/>
      <c r="AH142" s="13">
        <v>44083</v>
      </c>
      <c r="AI142" s="78">
        <v>40000</v>
      </c>
      <c r="AJ142" s="78">
        <v>67081</v>
      </c>
      <c r="AK142" s="78">
        <v>40000</v>
      </c>
      <c r="AL142" s="78">
        <v>27081</v>
      </c>
      <c r="AM142" s="78">
        <v>0</v>
      </c>
      <c r="AN142" s="78">
        <v>4.88</v>
      </c>
      <c r="AO142" s="77">
        <v>0</v>
      </c>
      <c r="AP142" s="77"/>
      <c r="AQ142" s="5"/>
      <c r="AR142" s="5">
        <v>44426</v>
      </c>
      <c r="AS142" s="5">
        <v>1.7917142857142858</v>
      </c>
      <c r="AT142" s="78">
        <v>1</v>
      </c>
      <c r="AU142" s="78">
        <v>1</v>
      </c>
      <c r="AV142" s="64">
        <v>1.2589719626168225</v>
      </c>
      <c r="AX142" s="78"/>
      <c r="AY142" s="13">
        <v>44083</v>
      </c>
      <c r="AZ142" s="78" t="e">
        <f t="array" ref="AZ142">INDEX(_xlfn._xlws.FILTER(Table13[],Table13[Days To Maturity]=AZ$3),MATCH($AY142,Table13[Date_d],0),8)</f>
        <v>#REF!</v>
      </c>
      <c r="BA142" s="78" t="e">
        <f t="array" ref="BA142">INDEX(_xlfn._xlws.FILTER(Table13[],Table13[Days To Maturity]=BA$3),MATCH($AY142,Table13[Date_d],0),8)</f>
        <v>#REF!</v>
      </c>
      <c r="BB142" s="78" t="e">
        <f t="array" ref="BB142">INDEX(_xlfn._xlws.FILTER(Table13[],Table13[Days To Maturity]=BB$3),MATCH($AY142,Table13[Date_d],0),8)</f>
        <v>#REF!</v>
      </c>
    </row>
    <row r="143" spans="1:54" x14ac:dyDescent="0.2">
      <c r="A143" s="9">
        <v>43593</v>
      </c>
      <c r="B143" s="10" t="s">
        <v>182</v>
      </c>
      <c r="C143" s="10">
        <v>91</v>
      </c>
      <c r="D143" s="10" t="s">
        <v>20</v>
      </c>
      <c r="E143" s="18">
        <v>4000</v>
      </c>
      <c r="F143" s="18">
        <v>9822</v>
      </c>
      <c r="G143" s="18">
        <v>4000</v>
      </c>
      <c r="H143" s="37">
        <v>8.51</v>
      </c>
      <c r="I143" s="37">
        <v>8.89</v>
      </c>
      <c r="J143" s="32">
        <f t="array" ref="J14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43685</v>
      </c>
      <c r="K143" s="59">
        <f>IFERROR(Table13[[#This Row],[Bid Accepted]]*(Table13[[#This Row],[WAYR Current]]%/364*Table13[[#This Row],[Days To Maturity]]),0)</f>
        <v>85.1</v>
      </c>
      <c r="L143" s="41">
        <f>+Table13[[#This Row],[Bid Accepted]]-Table13[[#This Row],[Amount Offered]]</f>
        <v>0</v>
      </c>
      <c r="M143" s="57">
        <f>+IF(Table13[[#This Row],[WAYR Last]]&gt;0,IF(Table13[[#This Row],[WAYR Current]]&gt;0,(Table13[[#This Row],[WAYR Current]]-Table13[[#This Row],[WAYR Last]]),""),"")</f>
        <v>-0.38000000000000078</v>
      </c>
      <c r="N143" s="23"/>
      <c r="P143" s="67"/>
      <c r="Q143" s="67"/>
      <c r="R143" s="67"/>
      <c r="S143" s="67"/>
      <c r="T143" s="67"/>
      <c r="U143" s="5"/>
      <c r="V143" s="5"/>
      <c r="AG143" s="5"/>
      <c r="AH143" s="13">
        <v>44090</v>
      </c>
      <c r="AI143" s="78">
        <v>40000</v>
      </c>
      <c r="AJ143" s="78">
        <v>58627</v>
      </c>
      <c r="AK143" s="78">
        <v>28477</v>
      </c>
      <c r="AL143" s="78">
        <v>18627</v>
      </c>
      <c r="AM143" s="78">
        <v>-11523</v>
      </c>
      <c r="AN143" s="78">
        <v>4.88</v>
      </c>
      <c r="AO143" s="77">
        <v>-0.28807500000000003</v>
      </c>
      <c r="AP143" s="77"/>
      <c r="AQ143" s="5"/>
      <c r="AR143" s="5">
        <v>44433</v>
      </c>
      <c r="AS143" s="5">
        <v>2.7456874999999998</v>
      </c>
      <c r="AT143" s="78">
        <v>1.20055</v>
      </c>
      <c r="AU143" s="78">
        <v>1.0024390243902439</v>
      </c>
      <c r="AV143" s="64">
        <v>1.5662300884955753</v>
      </c>
      <c r="AX143" s="78"/>
      <c r="AY143" s="13">
        <v>44090</v>
      </c>
      <c r="AZ143" s="78" t="e">
        <f t="array" ref="AZ143">INDEX(_xlfn._xlws.FILTER(Table13[],Table13[Days To Maturity]=AZ$3),MATCH($AY143,Table13[Date_d],0),8)</f>
        <v>#REF!</v>
      </c>
      <c r="BA143" s="78" t="e">
        <f t="array" ref="BA143">INDEX(_xlfn._xlws.FILTER(Table13[],Table13[Days To Maturity]=BA$3),MATCH($AY143,Table13[Date_d],0),8)</f>
        <v>#REF!</v>
      </c>
      <c r="BB143" s="78" t="e">
        <f t="array" ref="BB143">INDEX(_xlfn._xlws.FILTER(Table13[],Table13[Days To Maturity]=BB$3),MATCH($AY143,Table13[Date_d],0),8)</f>
        <v>#REF!</v>
      </c>
    </row>
    <row r="144" spans="1:54" x14ac:dyDescent="0.2">
      <c r="A144" s="34">
        <v>43593</v>
      </c>
      <c r="B144" s="35" t="s">
        <v>183</v>
      </c>
      <c r="C144" s="35">
        <v>182</v>
      </c>
      <c r="D144" s="35" t="s">
        <v>20</v>
      </c>
      <c r="E144" s="38">
        <v>4000</v>
      </c>
      <c r="F144" s="38">
        <v>13558</v>
      </c>
      <c r="G144" s="38">
        <v>4000</v>
      </c>
      <c r="H144" s="39">
        <v>9</v>
      </c>
      <c r="I144" s="39">
        <v>9.09</v>
      </c>
      <c r="J144" s="32">
        <f t="array" ref="J14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43777</v>
      </c>
      <c r="K144" s="59">
        <f>IFERROR(Table13[[#This Row],[Bid Accepted]]*(Table13[[#This Row],[WAYR Current]]%/364*Table13[[#This Row],[Days To Maturity]]),0)</f>
        <v>180</v>
      </c>
      <c r="L144" s="41">
        <f>+Table13[[#This Row],[Bid Accepted]]-Table13[[#This Row],[Amount Offered]]</f>
        <v>0</v>
      </c>
      <c r="M144" s="57">
        <f>+IF(Table13[[#This Row],[WAYR Last]]&gt;0,IF(Table13[[#This Row],[WAYR Current]]&gt;0,(Table13[[#This Row],[WAYR Current]]-Table13[[#This Row],[WAYR Last]]),""),"")</f>
        <v>-8.9999999999999858E-2</v>
      </c>
      <c r="N144" s="23"/>
      <c r="P144" s="67"/>
      <c r="Q144" s="67"/>
      <c r="R144" s="67"/>
      <c r="S144" s="67"/>
      <c r="T144" s="67"/>
      <c r="U144" s="5"/>
      <c r="V144" s="5"/>
      <c r="AG144" s="5"/>
      <c r="AH144" s="13">
        <v>44097</v>
      </c>
      <c r="AI144" s="78">
        <v>40000</v>
      </c>
      <c r="AJ144" s="78">
        <v>52412</v>
      </c>
      <c r="AK144" s="78">
        <v>19162</v>
      </c>
      <c r="AL144" s="78">
        <v>12412</v>
      </c>
      <c r="AM144" s="78">
        <v>-20838</v>
      </c>
      <c r="AN144" s="78">
        <v>4.88</v>
      </c>
      <c r="AO144" s="77">
        <v>-0.52095000000000002</v>
      </c>
      <c r="AP144" s="77"/>
      <c r="AQ144" s="5"/>
      <c r="AR144" s="5">
        <v>44440</v>
      </c>
      <c r="AS144" s="5">
        <v>1.8050555555555556</v>
      </c>
      <c r="AT144" s="78">
        <v>1.0045652173913044</v>
      </c>
      <c r="AU144" s="78">
        <v>1.0003636363636363</v>
      </c>
      <c r="AV144" s="64">
        <v>1.2132262773722629</v>
      </c>
      <c r="AX144" s="78"/>
      <c r="AY144" s="13">
        <v>44097</v>
      </c>
      <c r="AZ144" s="78" t="e">
        <f t="array" ref="AZ144">INDEX(_xlfn._xlws.FILTER(Table13[],Table13[Days To Maturity]=AZ$3),MATCH($AY144,Table13[Date_d],0),8)</f>
        <v>#REF!</v>
      </c>
      <c r="BA144" s="78" t="e">
        <f t="array" ref="BA144">INDEX(_xlfn._xlws.FILTER(Table13[],Table13[Days To Maturity]=BA$3),MATCH($AY144,Table13[Date_d],0),8)</f>
        <v>#REF!</v>
      </c>
      <c r="BB144" s="78" t="e">
        <f t="array" ref="BB144">INDEX(_xlfn._xlws.FILTER(Table13[],Table13[Days To Maturity]=BB$3),MATCH($AY144,Table13[Date_d],0),8)</f>
        <v>#REF!</v>
      </c>
    </row>
    <row r="145" spans="1:54" x14ac:dyDescent="0.2">
      <c r="A145" s="34">
        <v>43593</v>
      </c>
      <c r="B145" s="35" t="s">
        <v>184</v>
      </c>
      <c r="C145" s="35">
        <v>364</v>
      </c>
      <c r="D145" s="35" t="s">
        <v>20</v>
      </c>
      <c r="E145" s="38">
        <v>14000</v>
      </c>
      <c r="F145" s="38">
        <v>85713</v>
      </c>
      <c r="G145" s="38">
        <v>14000</v>
      </c>
      <c r="H145" s="39">
        <v>9.44</v>
      </c>
      <c r="I145" s="39">
        <v>9.81</v>
      </c>
      <c r="J145" s="32">
        <f t="array" ref="J14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43959</v>
      </c>
      <c r="K145" s="59">
        <f>IFERROR(Table13[[#This Row],[Bid Accepted]]*(Table13[[#This Row],[WAYR Current]]%/364*Table13[[#This Row],[Days To Maturity]]),0)</f>
        <v>1321.6</v>
      </c>
      <c r="L145" s="41">
        <f>+Table13[[#This Row],[Bid Accepted]]-Table13[[#This Row],[Amount Offered]]</f>
        <v>0</v>
      </c>
      <c r="M145" s="57">
        <f>+IF(Table13[[#This Row],[WAYR Last]]&gt;0,IF(Table13[[#This Row],[WAYR Current]]&gt;0,(Table13[[#This Row],[WAYR Current]]-Table13[[#This Row],[WAYR Last]]),""),"")</f>
        <v>-0.37000000000000099</v>
      </c>
      <c r="N145" s="23"/>
      <c r="P145" s="67"/>
      <c r="Q145" s="67"/>
      <c r="R145" s="67"/>
      <c r="S145" s="67"/>
      <c r="T145" s="67"/>
      <c r="U145" s="5"/>
      <c r="V145" s="5"/>
      <c r="AG145" s="5"/>
      <c r="AH145" s="13">
        <v>44103</v>
      </c>
      <c r="AI145" s="78">
        <v>40000</v>
      </c>
      <c r="AJ145" s="78">
        <v>40795</v>
      </c>
      <c r="AK145" s="78">
        <v>895</v>
      </c>
      <c r="AL145" s="78">
        <v>795</v>
      </c>
      <c r="AM145" s="78">
        <v>-39105</v>
      </c>
      <c r="AN145" s="78">
        <v>4.8899999999999997</v>
      </c>
      <c r="AO145" s="77">
        <v>-0.97762499999999997</v>
      </c>
      <c r="AP145" s="77"/>
      <c r="AQ145" s="5"/>
      <c r="AR145" s="5">
        <v>44447</v>
      </c>
      <c r="AS145" s="5">
        <v>2.1232777777777776</v>
      </c>
      <c r="AT145" s="78">
        <v>1.0022727272727272</v>
      </c>
      <c r="AU145" s="78">
        <v>1.0024999999999999</v>
      </c>
      <c r="AV145" s="64">
        <v>1.3176406249999999</v>
      </c>
      <c r="AX145" s="78"/>
      <c r="AY145" s="13">
        <v>44103</v>
      </c>
      <c r="AZ145" s="78" t="e">
        <f t="array" ref="AZ145">INDEX(_xlfn._xlws.FILTER(Table13[],Table13[Days To Maturity]=AZ$3),MATCH($AY145,Table13[Date_d],0),8)</f>
        <v>#REF!</v>
      </c>
      <c r="BA145" s="78" t="e">
        <f t="array" ref="BA145">INDEX(_xlfn._xlws.FILTER(Table13[],Table13[Days To Maturity]=BA$3),MATCH($AY145,Table13[Date_d],0),8)</f>
        <v>#REF!</v>
      </c>
      <c r="BB145" s="78" t="e">
        <f t="array" ref="BB145">INDEX(_xlfn._xlws.FILTER(Table13[],Table13[Days To Maturity]=BB$3),MATCH($AY145,Table13[Date_d],0),8)</f>
        <v>#REF!</v>
      </c>
    </row>
    <row r="146" spans="1:54" x14ac:dyDescent="0.2">
      <c r="A146" s="34">
        <v>43600</v>
      </c>
      <c r="B146" s="35" t="s">
        <v>185</v>
      </c>
      <c r="C146" s="35">
        <v>91</v>
      </c>
      <c r="D146" s="35" t="s">
        <v>20</v>
      </c>
      <c r="E146" s="38">
        <v>4000</v>
      </c>
      <c r="F146" s="38">
        <v>8400</v>
      </c>
      <c r="G146" s="38">
        <v>4000</v>
      </c>
      <c r="H146" s="39">
        <v>8.52</v>
      </c>
      <c r="I146" s="39">
        <v>8.51</v>
      </c>
      <c r="J146" s="32">
        <f t="array" ref="J14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43692</v>
      </c>
      <c r="K146" s="59">
        <f>IFERROR(Table13[[#This Row],[Bid Accepted]]*(Table13[[#This Row],[WAYR Current]]%/364*Table13[[#This Row],[Days To Maturity]]),0)</f>
        <v>85.2</v>
      </c>
      <c r="L146" s="41">
        <f>+Table13[[#This Row],[Bid Accepted]]-Table13[[#This Row],[Amount Offered]]</f>
        <v>0</v>
      </c>
      <c r="M146" s="57">
        <f>+IF(Table13[[#This Row],[WAYR Last]]&gt;0,IF(Table13[[#This Row],[WAYR Current]]&gt;0,(Table13[[#This Row],[WAYR Current]]-Table13[[#This Row],[WAYR Last]]),""),"")</f>
        <v>9.9999999999997868E-3</v>
      </c>
      <c r="N146" s="23"/>
      <c r="P146" s="67"/>
      <c r="Q146" s="67"/>
      <c r="R146" s="67"/>
      <c r="S146" s="67"/>
      <c r="T146" s="67"/>
      <c r="U146" s="5"/>
      <c r="V146" s="5"/>
      <c r="AG146" s="5"/>
      <c r="AH146" s="13">
        <v>44111</v>
      </c>
      <c r="AI146" s="78">
        <v>40000</v>
      </c>
      <c r="AJ146" s="78">
        <v>45522</v>
      </c>
      <c r="AK146" s="78">
        <v>14922</v>
      </c>
      <c r="AL146" s="78">
        <v>5522</v>
      </c>
      <c r="AM146" s="78">
        <v>-25078</v>
      </c>
      <c r="AN146" s="78">
        <v>4.99</v>
      </c>
      <c r="AO146" s="77">
        <v>-0.62695000000000001</v>
      </c>
      <c r="AP146" s="77"/>
      <c r="AQ146" s="5"/>
      <c r="AR146" s="5">
        <v>44454</v>
      </c>
      <c r="AS146" s="5">
        <v>2.0755833333333333</v>
      </c>
      <c r="AT146" s="78">
        <v>1.03576</v>
      </c>
      <c r="AU146" s="78">
        <v>1.0057333333333334</v>
      </c>
      <c r="AV146" s="64">
        <v>1.340253164556962</v>
      </c>
      <c r="AX146" s="78"/>
      <c r="AY146" s="13">
        <v>44111</v>
      </c>
      <c r="AZ146" s="78" t="e">
        <f t="array" ref="AZ146">INDEX(_xlfn._xlws.FILTER(Table13[],Table13[Days To Maturity]=AZ$3),MATCH($AY146,Table13[Date_d],0),8)</f>
        <v>#REF!</v>
      </c>
      <c r="BA146" s="78" t="e">
        <f t="array" ref="BA146">INDEX(_xlfn._xlws.FILTER(Table13[],Table13[Days To Maturity]=BA$3),MATCH($AY146,Table13[Date_d],0),8)</f>
        <v>#REF!</v>
      </c>
      <c r="BB146" s="78" t="e">
        <f t="array" ref="BB146">INDEX(_xlfn._xlws.FILTER(Table13[],Table13[Days To Maturity]=BB$3),MATCH($AY146,Table13[Date_d],0),8)</f>
        <v>#REF!</v>
      </c>
    </row>
    <row r="147" spans="1:54" x14ac:dyDescent="0.2">
      <c r="A147" s="9">
        <v>43600</v>
      </c>
      <c r="B147" s="10" t="s">
        <v>186</v>
      </c>
      <c r="C147" s="10">
        <v>182</v>
      </c>
      <c r="D147" s="10" t="s">
        <v>20</v>
      </c>
      <c r="E147" s="18">
        <v>4000</v>
      </c>
      <c r="F147" s="18">
        <v>14815</v>
      </c>
      <c r="G147" s="18">
        <v>4000</v>
      </c>
      <c r="H147" s="37">
        <v>8.8800000000000008</v>
      </c>
      <c r="I147" s="37">
        <v>9</v>
      </c>
      <c r="J147" s="32">
        <f t="array" ref="J14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43784</v>
      </c>
      <c r="K147" s="59">
        <f>IFERROR(Table13[[#This Row],[Bid Accepted]]*(Table13[[#This Row],[WAYR Current]]%/364*Table13[[#This Row],[Days To Maturity]]),0)</f>
        <v>177.6</v>
      </c>
      <c r="L147" s="41">
        <f>+Table13[[#This Row],[Bid Accepted]]-Table13[[#This Row],[Amount Offered]]</f>
        <v>0</v>
      </c>
      <c r="M147" s="57">
        <f>+IF(Table13[[#This Row],[WAYR Last]]&gt;0,IF(Table13[[#This Row],[WAYR Current]]&gt;0,(Table13[[#This Row],[WAYR Current]]-Table13[[#This Row],[WAYR Last]]),""),"")</f>
        <v>-0.11999999999999922</v>
      </c>
      <c r="N147" s="23"/>
      <c r="P147" s="67"/>
      <c r="Q147" s="67"/>
      <c r="R147" s="67"/>
      <c r="S147" s="67"/>
      <c r="T147" s="67"/>
      <c r="U147" s="5"/>
      <c r="V147" s="5"/>
      <c r="AG147" s="5"/>
      <c r="AH147" s="13">
        <v>44118</v>
      </c>
      <c r="AI147" s="78">
        <v>40000</v>
      </c>
      <c r="AJ147" s="78">
        <v>79244</v>
      </c>
      <c r="AK147" s="78">
        <v>40000</v>
      </c>
      <c r="AL147" s="78">
        <v>39244</v>
      </c>
      <c r="AM147" s="78">
        <v>0</v>
      </c>
      <c r="AN147" s="78">
        <v>4.99</v>
      </c>
      <c r="AO147" s="77">
        <v>0</v>
      </c>
      <c r="AP147" s="77"/>
      <c r="AQ147" s="5"/>
      <c r="AR147" s="5">
        <v>44461</v>
      </c>
      <c r="AS147" s="5">
        <v>2.5602999999999998</v>
      </c>
      <c r="AT147" s="78">
        <v>1.0207692307692309</v>
      </c>
      <c r="AU147" s="78">
        <v>1.0060606060606061</v>
      </c>
      <c r="AV147" s="64">
        <v>1.4043797468354431</v>
      </c>
      <c r="AX147" s="78"/>
      <c r="AY147" s="13">
        <v>44118</v>
      </c>
      <c r="AZ147" s="78" t="e">
        <f t="array" ref="AZ147">INDEX(_xlfn._xlws.FILTER(Table13[],Table13[Days To Maturity]=AZ$3),MATCH($AY147,Table13[Date_d],0),8)</f>
        <v>#REF!</v>
      </c>
      <c r="BA147" s="78" t="e">
        <f t="array" ref="BA147">INDEX(_xlfn._xlws.FILTER(Table13[],Table13[Days To Maturity]=BA$3),MATCH($AY147,Table13[Date_d],0),8)</f>
        <v>#REF!</v>
      </c>
      <c r="BB147" s="78" t="e">
        <f t="array" ref="BB147">INDEX(_xlfn._xlws.FILTER(Table13[],Table13[Days To Maturity]=BB$3),MATCH($AY147,Table13[Date_d],0),8)</f>
        <v>#REF!</v>
      </c>
    </row>
    <row r="148" spans="1:54" x14ac:dyDescent="0.2">
      <c r="A148" s="9">
        <v>43600</v>
      </c>
      <c r="B148" s="10" t="s">
        <v>187</v>
      </c>
      <c r="C148" s="10">
        <v>364</v>
      </c>
      <c r="D148" s="10" t="s">
        <v>20</v>
      </c>
      <c r="E148" s="18">
        <v>13000</v>
      </c>
      <c r="F148" s="18">
        <v>58310</v>
      </c>
      <c r="G148" s="18">
        <v>13000</v>
      </c>
      <c r="H148" s="37">
        <v>9.18</v>
      </c>
      <c r="I148" s="37">
        <v>9.44</v>
      </c>
      <c r="J148" s="32">
        <f t="array" ref="J14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43966</v>
      </c>
      <c r="K148" s="59">
        <f>IFERROR(Table13[[#This Row],[Bid Accepted]]*(Table13[[#This Row],[WAYR Current]]%/364*Table13[[#This Row],[Days To Maturity]]),0)</f>
        <v>1193.3999999999999</v>
      </c>
      <c r="L148" s="41">
        <f>+Table13[[#This Row],[Bid Accepted]]-Table13[[#This Row],[Amount Offered]]</f>
        <v>0</v>
      </c>
      <c r="M148" s="57">
        <f>+IF(Table13[[#This Row],[WAYR Last]]&gt;0,IF(Table13[[#This Row],[WAYR Current]]&gt;0,(Table13[[#This Row],[WAYR Current]]-Table13[[#This Row],[WAYR Last]]),""),"")</f>
        <v>-0.25999999999999979</v>
      </c>
      <c r="N148" s="5"/>
      <c r="P148" s="67"/>
      <c r="Q148" s="67"/>
      <c r="R148" s="67"/>
      <c r="S148" s="67"/>
      <c r="T148" s="67"/>
      <c r="U148" s="5"/>
      <c r="V148" s="5"/>
      <c r="AG148" s="5"/>
      <c r="AH148" s="13">
        <v>44125</v>
      </c>
      <c r="AI148" s="78">
        <v>40000</v>
      </c>
      <c r="AJ148" s="78">
        <v>82889</v>
      </c>
      <c r="AK148" s="78">
        <v>40000</v>
      </c>
      <c r="AL148" s="78">
        <v>42889</v>
      </c>
      <c r="AM148" s="78">
        <v>0</v>
      </c>
      <c r="AN148" s="78">
        <v>4.13</v>
      </c>
      <c r="AO148" s="77">
        <v>0</v>
      </c>
      <c r="AP148" s="77"/>
      <c r="AQ148" s="5"/>
      <c r="AR148" s="5">
        <v>44468</v>
      </c>
      <c r="AS148" s="5">
        <v>2.6538400000000002</v>
      </c>
      <c r="AT148" s="78">
        <v>1.0084210526315789</v>
      </c>
      <c r="AU148" s="78">
        <v>1.00505</v>
      </c>
      <c r="AV148" s="64">
        <v>1.4064854368932038</v>
      </c>
      <c r="AX148" s="78"/>
      <c r="AY148" s="13">
        <v>44125</v>
      </c>
      <c r="AZ148" s="78" t="e">
        <f t="array" ref="AZ148">INDEX(_xlfn._xlws.FILTER(Table13[],Table13[Days To Maturity]=AZ$3),MATCH($AY148,Table13[Date_d],0),8)</f>
        <v>#REF!</v>
      </c>
      <c r="BA148" s="78" t="e">
        <f t="array" ref="BA148">INDEX(_xlfn._xlws.FILTER(Table13[],Table13[Days To Maturity]=BA$3),MATCH($AY148,Table13[Date_d],0),8)</f>
        <v>#REF!</v>
      </c>
      <c r="BB148" s="78" t="e">
        <f t="array" ref="BB148">INDEX(_xlfn._xlws.FILTER(Table13[],Table13[Days To Maturity]=BB$3),MATCH($AY148,Table13[Date_d],0),8)</f>
        <v>#REF!</v>
      </c>
    </row>
    <row r="149" spans="1:54" x14ac:dyDescent="0.2">
      <c r="A149" s="9">
        <v>43607</v>
      </c>
      <c r="B149" s="10" t="s">
        <v>188</v>
      </c>
      <c r="C149" s="10">
        <v>91</v>
      </c>
      <c r="D149" s="10" t="s">
        <v>20</v>
      </c>
      <c r="E149" s="18">
        <v>2500</v>
      </c>
      <c r="F149" s="18">
        <v>5352</v>
      </c>
      <c r="G149" s="18">
        <v>0</v>
      </c>
      <c r="H149" s="37" t="s">
        <v>189</v>
      </c>
      <c r="I149" s="37">
        <v>8.52</v>
      </c>
      <c r="J149" s="32">
        <f t="array" ref="J14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43699</v>
      </c>
      <c r="K149" s="59">
        <f>IFERROR(Table13[[#This Row],[Bid Accepted]]*(Table13[[#This Row],[WAYR Current]]%/364*Table13[[#This Row],[Days To Maturity]]),0)</f>
        <v>0</v>
      </c>
      <c r="L149" s="41">
        <f>+Table13[[#This Row],[Bid Accepted]]-Table13[[#This Row],[Amount Offered]]</f>
        <v>-2500</v>
      </c>
      <c r="M149" s="57" t="e">
        <f>+IF(Table13[[#This Row],[WAYR Last]]&gt;0,IF(Table13[[#This Row],[WAYR Current]]&gt;0,(Table13[[#This Row],[WAYR Current]]-Table13[[#This Row],[WAYR Last]]),""),"")</f>
        <v>#VALUE!</v>
      </c>
      <c r="N149" s="5"/>
      <c r="P149" s="67"/>
      <c r="Q149" s="67"/>
      <c r="R149" s="67"/>
      <c r="S149" s="67"/>
      <c r="T149" s="67"/>
      <c r="U149" s="5"/>
      <c r="V149" s="5"/>
      <c r="AG149" s="5"/>
      <c r="AH149" s="13">
        <v>44131</v>
      </c>
      <c r="AI149" s="78">
        <v>40000</v>
      </c>
      <c r="AJ149" s="78">
        <v>61037</v>
      </c>
      <c r="AK149" s="78">
        <v>32492</v>
      </c>
      <c r="AL149" s="78">
        <v>21037</v>
      </c>
      <c r="AM149" s="78">
        <v>-7508</v>
      </c>
      <c r="AN149" s="78">
        <v>4.96</v>
      </c>
      <c r="AO149" s="77">
        <v>-0.18770000000000001</v>
      </c>
      <c r="AP149" s="77"/>
      <c r="AQ149" s="5"/>
      <c r="AR149" s="5">
        <v>44475</v>
      </c>
      <c r="AS149" s="5">
        <v>3.6719310344827587</v>
      </c>
      <c r="AT149" s="78">
        <v>1.0011000000000001</v>
      </c>
      <c r="AU149" s="78">
        <v>1.0192307692307692</v>
      </c>
      <c r="AV149" s="64">
        <v>1.5991628614916287</v>
      </c>
      <c r="AX149" s="78"/>
      <c r="AY149" s="13">
        <v>44131</v>
      </c>
      <c r="AZ149" s="78" t="e">
        <f t="array" ref="AZ149">INDEX(_xlfn._xlws.FILTER(Table13[],Table13[Days To Maturity]=AZ$3),MATCH($AY149,Table13[Date_d],0),8)</f>
        <v>#REF!</v>
      </c>
      <c r="BA149" s="78" t="e">
        <f t="array" ref="BA149">INDEX(_xlfn._xlws.FILTER(Table13[],Table13[Days To Maturity]=BA$3),MATCH($AY149,Table13[Date_d],0),8)</f>
        <v>#REF!</v>
      </c>
      <c r="BB149" s="78" t="e">
        <f t="array" ref="BB149">INDEX(_xlfn._xlws.FILTER(Table13[],Table13[Days To Maturity]=BB$3),MATCH($AY149,Table13[Date_d],0),8)</f>
        <v>#REF!</v>
      </c>
    </row>
    <row r="150" spans="1:54" x14ac:dyDescent="0.2">
      <c r="A150" s="34">
        <v>43607</v>
      </c>
      <c r="B150" s="35" t="s">
        <v>190</v>
      </c>
      <c r="C150" s="35">
        <v>182</v>
      </c>
      <c r="D150" s="35" t="s">
        <v>20</v>
      </c>
      <c r="E150" s="38">
        <v>4500</v>
      </c>
      <c r="F150" s="38">
        <v>15583</v>
      </c>
      <c r="G150" s="38">
        <v>4500</v>
      </c>
      <c r="H150" s="39">
        <v>8.7100000000000009</v>
      </c>
      <c r="I150" s="39">
        <v>8.8800000000000008</v>
      </c>
      <c r="J150" s="32">
        <f t="array" ref="J15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43791</v>
      </c>
      <c r="K150" s="59">
        <f>IFERROR(Table13[[#This Row],[Bid Accepted]]*(Table13[[#This Row],[WAYR Current]]%/364*Table13[[#This Row],[Days To Maturity]]),0)</f>
        <v>195.97500000000002</v>
      </c>
      <c r="L150" s="41">
        <f>+Table13[[#This Row],[Bid Accepted]]-Table13[[#This Row],[Amount Offered]]</f>
        <v>0</v>
      </c>
      <c r="M150" s="57">
        <f>+IF(Table13[[#This Row],[WAYR Last]]&gt;0,IF(Table13[[#This Row],[WAYR Current]]&gt;0,(Table13[[#This Row],[WAYR Current]]-Table13[[#This Row],[WAYR Last]]),""),"")</f>
        <v>-0.16999999999999993</v>
      </c>
      <c r="N150" s="5"/>
      <c r="P150" s="67"/>
      <c r="Q150" s="67"/>
      <c r="R150" s="67"/>
      <c r="S150" s="67"/>
      <c r="T150" s="67"/>
      <c r="U150" s="5"/>
      <c r="V150" s="5"/>
      <c r="AG150" s="5"/>
      <c r="AH150" s="13">
        <v>44139</v>
      </c>
      <c r="AI150" s="78">
        <v>40000</v>
      </c>
      <c r="AJ150" s="78">
        <v>52316</v>
      </c>
      <c r="AK150" s="78">
        <v>19011</v>
      </c>
      <c r="AL150" s="78">
        <v>12316</v>
      </c>
      <c r="AM150" s="78">
        <v>-20989</v>
      </c>
      <c r="AN150" s="78">
        <v>4.96</v>
      </c>
      <c r="AO150" s="77">
        <v>-0.524725</v>
      </c>
      <c r="AP150" s="77"/>
      <c r="AQ150" s="5"/>
      <c r="AR150" s="5">
        <v>44482</v>
      </c>
      <c r="AS150" s="5">
        <v>2.7791000000000001</v>
      </c>
      <c r="AT150" s="78">
        <v>1.01508</v>
      </c>
      <c r="AU150" s="78">
        <v>1.0111666666666668</v>
      </c>
      <c r="AV150" s="64">
        <v>1.6362941176470589</v>
      </c>
      <c r="AX150" s="78"/>
      <c r="AY150" s="13">
        <v>44139</v>
      </c>
      <c r="AZ150" s="78" t="e">
        <f t="array" ref="AZ150">INDEX(_xlfn._xlws.FILTER(Table13[],Table13[Days To Maturity]=AZ$3),MATCH($AY150,Table13[Date_d],0),8)</f>
        <v>#REF!</v>
      </c>
      <c r="BA150" s="78" t="e">
        <f t="array" ref="BA150">INDEX(_xlfn._xlws.FILTER(Table13[],Table13[Days To Maturity]=BA$3),MATCH($AY150,Table13[Date_d],0),8)</f>
        <v>#REF!</v>
      </c>
      <c r="BB150" s="78" t="e">
        <f t="array" ref="BB150">INDEX(_xlfn._xlws.FILTER(Table13[],Table13[Days To Maturity]=BB$3),MATCH($AY150,Table13[Date_d],0),8)</f>
        <v>#REF!</v>
      </c>
    </row>
    <row r="151" spans="1:54" x14ac:dyDescent="0.2">
      <c r="A151" s="34">
        <v>43607</v>
      </c>
      <c r="B151" s="35" t="s">
        <v>191</v>
      </c>
      <c r="C151" s="35">
        <v>364</v>
      </c>
      <c r="D151" s="35" t="s">
        <v>20</v>
      </c>
      <c r="E151" s="38">
        <v>13000</v>
      </c>
      <c r="F151" s="38">
        <v>60152</v>
      </c>
      <c r="G151" s="38">
        <v>15500</v>
      </c>
      <c r="H151" s="39">
        <v>8.9</v>
      </c>
      <c r="I151" s="39">
        <v>9.18</v>
      </c>
      <c r="J151" s="32">
        <f t="array" ref="J15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43973</v>
      </c>
      <c r="K151" s="59">
        <f>IFERROR(Table13[[#This Row],[Bid Accepted]]*(Table13[[#This Row],[WAYR Current]]%/364*Table13[[#This Row],[Days To Maturity]]),0)</f>
        <v>1379.5000000000005</v>
      </c>
      <c r="L151" s="41">
        <f>+Table13[[#This Row],[Bid Accepted]]-Table13[[#This Row],[Amount Offered]]</f>
        <v>2500</v>
      </c>
      <c r="M151" s="57">
        <f>+IF(Table13[[#This Row],[WAYR Last]]&gt;0,IF(Table13[[#This Row],[WAYR Current]]&gt;0,(Table13[[#This Row],[WAYR Current]]-Table13[[#This Row],[WAYR Last]]),""),"")</f>
        <v>-0.27999999999999936</v>
      </c>
      <c r="N151" s="5"/>
      <c r="P151" s="67"/>
      <c r="Q151" s="67"/>
      <c r="R151" s="67"/>
      <c r="S151" s="67"/>
      <c r="T151" s="67"/>
      <c r="U151" s="5"/>
      <c r="V151" s="5"/>
      <c r="AG151" s="5"/>
      <c r="AH151" s="13">
        <v>44146</v>
      </c>
      <c r="AI151" s="78">
        <v>40000</v>
      </c>
      <c r="AJ151" s="78">
        <v>44670</v>
      </c>
      <c r="AK151" s="78">
        <v>9190</v>
      </c>
      <c r="AL151" s="78">
        <v>4670</v>
      </c>
      <c r="AM151" s="78">
        <v>-30810</v>
      </c>
      <c r="AN151" s="78">
        <v>4.97</v>
      </c>
      <c r="AO151" s="77">
        <v>-0.77024999999999999</v>
      </c>
      <c r="AP151" s="77"/>
      <c r="AQ151" s="5"/>
      <c r="AR151" s="5">
        <v>44487</v>
      </c>
      <c r="AS151" s="5">
        <v>7.9264000000000001</v>
      </c>
      <c r="AT151" s="78">
        <v>1.0820454545454545</v>
      </c>
      <c r="AU151" s="78">
        <v>1.0107692307692309</v>
      </c>
      <c r="AV151" s="64">
        <v>2.8883624161073826</v>
      </c>
      <c r="AX151" s="78"/>
      <c r="AY151" s="13">
        <v>44146</v>
      </c>
      <c r="AZ151" s="78" t="e">
        <f t="array" ref="AZ151">INDEX(_xlfn._xlws.FILTER(Table13[],Table13[Days To Maturity]=AZ$3),MATCH($AY151,Table13[Date_d],0),8)</f>
        <v>#REF!</v>
      </c>
      <c r="BA151" s="78" t="e">
        <f t="array" ref="BA151">INDEX(_xlfn._xlws.FILTER(Table13[],Table13[Days To Maturity]=BA$3),MATCH($AY151,Table13[Date_d],0),8)</f>
        <v>#REF!</v>
      </c>
      <c r="BB151" s="78" t="e">
        <f t="array" ref="BB151">INDEX(_xlfn._xlws.FILTER(Table13[],Table13[Days To Maturity]=BB$3),MATCH($AY151,Table13[Date_d],0),8)</f>
        <v>#REF!</v>
      </c>
    </row>
    <row r="152" spans="1:54" x14ac:dyDescent="0.2">
      <c r="A152" s="34">
        <v>43614</v>
      </c>
      <c r="B152" s="35" t="s">
        <v>192</v>
      </c>
      <c r="C152" s="35">
        <v>91</v>
      </c>
      <c r="D152" s="35" t="s">
        <v>20</v>
      </c>
      <c r="E152" s="38">
        <v>2000</v>
      </c>
      <c r="F152" s="38">
        <v>4352</v>
      </c>
      <c r="G152" s="38" t="s">
        <v>189</v>
      </c>
      <c r="H152" s="39" t="s">
        <v>189</v>
      </c>
      <c r="I152" s="39" t="s">
        <v>189</v>
      </c>
      <c r="J152" s="32">
        <f t="array" ref="J15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43706</v>
      </c>
      <c r="K152" s="59">
        <f>IFERROR(Table13[[#This Row],[Bid Accepted]]*(Table13[[#This Row],[WAYR Current]]%/364*Table13[[#This Row],[Days To Maturity]]),0)</f>
        <v>0</v>
      </c>
      <c r="L152" s="41" t="e">
        <f>+Table13[[#This Row],[Bid Accepted]]-Table13[[#This Row],[Amount Offered]]</f>
        <v>#VALUE!</v>
      </c>
      <c r="M152" s="57" t="e">
        <f>+IF(Table13[[#This Row],[WAYR Last]]&gt;0,IF(Table13[[#This Row],[WAYR Current]]&gt;0,(Table13[[#This Row],[WAYR Current]]-Table13[[#This Row],[WAYR Last]]),""),"")</f>
        <v>#VALUE!</v>
      </c>
      <c r="N152" s="5"/>
      <c r="P152" s="67"/>
      <c r="Q152" s="67"/>
      <c r="R152" s="67"/>
      <c r="S152" s="67"/>
      <c r="T152" s="67"/>
      <c r="U152" s="5"/>
      <c r="V152" s="5"/>
      <c r="AG152" s="5"/>
      <c r="AH152" s="13">
        <v>44153</v>
      </c>
      <c r="AI152" s="78">
        <v>40000</v>
      </c>
      <c r="AJ152" s="78">
        <v>42805</v>
      </c>
      <c r="AK152" s="78">
        <v>7650</v>
      </c>
      <c r="AL152" s="78">
        <v>2805</v>
      </c>
      <c r="AM152" s="78">
        <v>-32350</v>
      </c>
      <c r="AN152" s="78">
        <v>4.9800000000000004</v>
      </c>
      <c r="AO152" s="77">
        <v>-0.80874999999999997</v>
      </c>
      <c r="AP152" s="77"/>
      <c r="AQ152" s="5"/>
      <c r="AR152" s="5">
        <v>44496</v>
      </c>
      <c r="AS152" s="5">
        <v>11.275733333333333</v>
      </c>
      <c r="AT152" s="78">
        <v>1.1742857142857144</v>
      </c>
      <c r="AU152" s="78">
        <v>1.0666666666666667</v>
      </c>
      <c r="AV152" s="64">
        <v>3.8103716814159294</v>
      </c>
      <c r="AX152" s="78"/>
      <c r="AY152" s="13">
        <v>44153</v>
      </c>
      <c r="AZ152" s="78" t="e">
        <f t="array" ref="AZ152">INDEX(_xlfn._xlws.FILTER(Table13[],Table13[Days To Maturity]=AZ$3),MATCH($AY152,Table13[Date_d],0),8)</f>
        <v>#REF!</v>
      </c>
      <c r="BA152" s="78" t="e">
        <f t="array" ref="BA152">INDEX(_xlfn._xlws.FILTER(Table13[],Table13[Days To Maturity]=BA$3),MATCH($AY152,Table13[Date_d],0),8)</f>
        <v>#REF!</v>
      </c>
      <c r="BB152" s="78" t="e">
        <f t="array" ref="BB152">INDEX(_xlfn._xlws.FILTER(Table13[],Table13[Days To Maturity]=BB$3),MATCH($AY152,Table13[Date_d],0),8)</f>
        <v>#REF!</v>
      </c>
    </row>
    <row r="153" spans="1:54" x14ac:dyDescent="0.2">
      <c r="A153" s="9">
        <v>43614</v>
      </c>
      <c r="B153" s="10" t="s">
        <v>193</v>
      </c>
      <c r="C153" s="10">
        <v>182</v>
      </c>
      <c r="D153" s="10" t="s">
        <v>20</v>
      </c>
      <c r="E153" s="18">
        <v>4000</v>
      </c>
      <c r="F153" s="18">
        <v>15823</v>
      </c>
      <c r="G153" s="18">
        <v>6000</v>
      </c>
      <c r="H153" s="37">
        <v>8.6300000000000008</v>
      </c>
      <c r="I153" s="37">
        <v>8.7100000000000009</v>
      </c>
      <c r="J153" s="32">
        <f t="array" ref="J15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43798</v>
      </c>
      <c r="K153" s="59">
        <f>IFERROR(Table13[[#This Row],[Bid Accepted]]*(Table13[[#This Row],[WAYR Current]]%/364*Table13[[#This Row],[Days To Maturity]]),0)</f>
        <v>258.89999999999998</v>
      </c>
      <c r="L153" s="41">
        <f>+Table13[[#This Row],[Bid Accepted]]-Table13[[#This Row],[Amount Offered]]</f>
        <v>2000</v>
      </c>
      <c r="M153" s="57">
        <f>+IF(Table13[[#This Row],[WAYR Last]]&gt;0,IF(Table13[[#This Row],[WAYR Current]]&gt;0,(Table13[[#This Row],[WAYR Current]]-Table13[[#This Row],[WAYR Last]]),""),"")</f>
        <v>-8.0000000000000071E-2</v>
      </c>
      <c r="N153" s="5"/>
      <c r="P153" s="67"/>
      <c r="Q153" s="67"/>
      <c r="R153" s="67"/>
      <c r="S153" s="67"/>
      <c r="T153" s="67"/>
      <c r="U153" s="5"/>
      <c r="V153" s="5"/>
      <c r="AG153" s="5"/>
      <c r="AH153" s="13">
        <v>44160</v>
      </c>
      <c r="AI153" s="78">
        <v>39300</v>
      </c>
      <c r="AJ153" s="78">
        <v>65469</v>
      </c>
      <c r="AK153" s="78">
        <v>37436</v>
      </c>
      <c r="AL153" s="78">
        <v>26169</v>
      </c>
      <c r="AM153" s="78">
        <v>-1864</v>
      </c>
      <c r="AN153" s="78">
        <v>5</v>
      </c>
      <c r="AO153" s="77">
        <v>-4.7430025445292623E-2</v>
      </c>
      <c r="AP153" s="77"/>
      <c r="AQ153" s="5"/>
      <c r="AR153" s="5">
        <v>44502</v>
      </c>
      <c r="AS153" s="5">
        <v>12.0044</v>
      </c>
      <c r="AT153" s="78">
        <v>1.1998</v>
      </c>
      <c r="AU153" s="78">
        <v>1.0084193548387097</v>
      </c>
      <c r="AV153" s="64">
        <v>3.5655000000000001</v>
      </c>
      <c r="AX153" s="78"/>
      <c r="AY153" s="13">
        <v>44160</v>
      </c>
      <c r="AZ153" s="78" t="e">
        <f t="array" ref="AZ153">INDEX(_xlfn._xlws.FILTER(Table13[],Table13[Days To Maturity]=AZ$3),MATCH($AY153,Table13[Date_d],0),8)</f>
        <v>#REF!</v>
      </c>
      <c r="BA153" s="78" t="e">
        <f t="array" ref="BA153">INDEX(_xlfn._xlws.FILTER(Table13[],Table13[Days To Maturity]=BA$3),MATCH($AY153,Table13[Date_d],0),8)</f>
        <v>#REF!</v>
      </c>
      <c r="BB153" s="78" t="e">
        <f t="array" ref="BB153">INDEX(_xlfn._xlws.FILTER(Table13[],Table13[Days To Maturity]=BB$3),MATCH($AY153,Table13[Date_d],0),8)</f>
        <v>#REF!</v>
      </c>
    </row>
    <row r="154" spans="1:54" x14ac:dyDescent="0.2">
      <c r="A154" s="9">
        <v>43614</v>
      </c>
      <c r="B154" s="10" t="s">
        <v>194</v>
      </c>
      <c r="C154" s="10">
        <v>364</v>
      </c>
      <c r="D154" s="10" t="s">
        <v>20</v>
      </c>
      <c r="E154" s="18">
        <v>14000</v>
      </c>
      <c r="F154" s="18">
        <v>28954</v>
      </c>
      <c r="G154" s="18">
        <v>14000</v>
      </c>
      <c r="H154" s="37">
        <v>8.8800000000000008</v>
      </c>
      <c r="I154" s="37">
        <v>8.9</v>
      </c>
      <c r="J154" s="32">
        <f t="array" ref="J15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43980</v>
      </c>
      <c r="K154" s="59">
        <f>IFERROR(Table13[[#This Row],[Bid Accepted]]*(Table13[[#This Row],[WAYR Current]]%/364*Table13[[#This Row],[Days To Maturity]]),0)</f>
        <v>1243.2</v>
      </c>
      <c r="L154" s="41">
        <f>+Table13[[#This Row],[Bid Accepted]]-Table13[[#This Row],[Amount Offered]]</f>
        <v>0</v>
      </c>
      <c r="M154" s="57">
        <f>+IF(Table13[[#This Row],[WAYR Last]]&gt;0,IF(Table13[[#This Row],[WAYR Current]]&gt;0,(Table13[[#This Row],[WAYR Current]]-Table13[[#This Row],[WAYR Last]]),""),"")</f>
        <v>-1.9999999999999574E-2</v>
      </c>
      <c r="N154" s="5"/>
      <c r="P154" s="67"/>
      <c r="Q154" s="67"/>
      <c r="R154" s="67"/>
      <c r="S154" s="67"/>
      <c r="T154" s="67"/>
      <c r="U154" s="5"/>
      <c r="V154" s="5"/>
      <c r="AG154" s="5"/>
      <c r="AH154" s="13">
        <v>44167</v>
      </c>
      <c r="AI154" s="78">
        <v>40000</v>
      </c>
      <c r="AJ154" s="78">
        <v>62267</v>
      </c>
      <c r="AK154" s="78">
        <v>34317</v>
      </c>
      <c r="AL154" s="78">
        <v>22267</v>
      </c>
      <c r="AM154" s="78">
        <v>-5683</v>
      </c>
      <c r="AN154" s="78">
        <v>5</v>
      </c>
      <c r="AO154" s="77">
        <v>-0.14207500000000001</v>
      </c>
      <c r="AP154" s="77"/>
      <c r="AQ154" s="5"/>
      <c r="AR154" s="5">
        <v>44510</v>
      </c>
      <c r="AS154" s="5">
        <v>8.1666500000000006</v>
      </c>
      <c r="AT154" s="78">
        <v>1.2106666666666666</v>
      </c>
      <c r="AU154" s="78">
        <v>1.1099411764705882</v>
      </c>
      <c r="AV154" s="64">
        <v>3.8531153846153847</v>
      </c>
      <c r="AX154" s="78"/>
      <c r="AY154" s="13">
        <v>44167</v>
      </c>
      <c r="AZ154" s="78" t="e">
        <f t="array" ref="AZ154">INDEX(_xlfn._xlws.FILTER(Table13[],Table13[Days To Maturity]=AZ$3),MATCH($AY154,Table13[Date_d],0),8)</f>
        <v>#REF!</v>
      </c>
      <c r="BA154" s="78" t="e">
        <f t="array" ref="BA154">INDEX(_xlfn._xlws.FILTER(Table13[],Table13[Days To Maturity]=BA$3),MATCH($AY154,Table13[Date_d],0),8)</f>
        <v>#REF!</v>
      </c>
      <c r="BB154" s="78" t="e">
        <f t="array" ref="BB154">INDEX(_xlfn._xlws.FILTER(Table13[],Table13[Days To Maturity]=BB$3),MATCH($AY154,Table13[Date_d],0),8)</f>
        <v>#REF!</v>
      </c>
    </row>
    <row r="155" spans="1:54" x14ac:dyDescent="0.2">
      <c r="A155" s="9">
        <v>43620</v>
      </c>
      <c r="B155" s="10" t="s">
        <v>195</v>
      </c>
      <c r="C155" s="10">
        <v>91</v>
      </c>
      <c r="D155" s="10" t="s">
        <v>20</v>
      </c>
      <c r="E155" s="18">
        <v>2000</v>
      </c>
      <c r="F155" s="18">
        <v>4300</v>
      </c>
      <c r="G155" s="18">
        <v>2333</v>
      </c>
      <c r="H155" s="37">
        <v>8.3800000000000008</v>
      </c>
      <c r="I155" s="37" t="s">
        <v>189</v>
      </c>
      <c r="J155" s="32">
        <f t="array" ref="J15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43712</v>
      </c>
      <c r="K155" s="59">
        <f>IFERROR(Table13[[#This Row],[Bid Accepted]]*(Table13[[#This Row],[WAYR Current]]%/364*Table13[[#This Row],[Days To Maturity]]),0)</f>
        <v>48.876350000000009</v>
      </c>
      <c r="L155" s="41">
        <f>+Table13[[#This Row],[Bid Accepted]]-Table13[[#This Row],[Amount Offered]]</f>
        <v>333</v>
      </c>
      <c r="M155" s="57" t="e">
        <f>+IF(Table13[[#This Row],[WAYR Last]]&gt;0,IF(Table13[[#This Row],[WAYR Current]]&gt;0,(Table13[[#This Row],[WAYR Current]]-Table13[[#This Row],[WAYR Last]]),""),"")</f>
        <v>#VALUE!</v>
      </c>
      <c r="N155" s="5"/>
      <c r="P155" s="67"/>
      <c r="Q155" s="67"/>
      <c r="R155" s="67"/>
      <c r="S155" s="67"/>
      <c r="T155" s="67"/>
      <c r="U155" s="5"/>
      <c r="V155" s="5"/>
      <c r="AG155" s="5"/>
      <c r="AH155" s="13">
        <v>44174</v>
      </c>
      <c r="AI155" s="78">
        <v>40000</v>
      </c>
      <c r="AJ155" s="78">
        <v>54042</v>
      </c>
      <c r="AK155" s="78">
        <v>25892</v>
      </c>
      <c r="AL155" s="78">
        <v>14042</v>
      </c>
      <c r="AM155" s="78">
        <v>-14108</v>
      </c>
      <c r="AN155" s="78">
        <v>5</v>
      </c>
      <c r="AO155" s="77">
        <v>-0.35270000000000001</v>
      </c>
      <c r="AP155" s="77"/>
      <c r="AQ155" s="5"/>
      <c r="AR155" s="5">
        <v>44516</v>
      </c>
      <c r="AS155" s="5">
        <v>8.9672666666666672</v>
      </c>
      <c r="AT155" s="78">
        <v>1.3192777777777778</v>
      </c>
      <c r="AU155" s="78">
        <v>1.0649999999999999</v>
      </c>
      <c r="AV155" s="64">
        <v>3.3878490566037738</v>
      </c>
      <c r="AX155" s="78"/>
      <c r="AY155" s="13">
        <v>44174</v>
      </c>
      <c r="AZ155" s="78" t="e">
        <f t="array" ref="AZ155">INDEX(_xlfn._xlws.FILTER(Table13[],Table13[Days To Maturity]=AZ$3),MATCH($AY155,Table13[Date_d],0),8)</f>
        <v>#REF!</v>
      </c>
      <c r="BA155" s="78" t="e">
        <f t="array" ref="BA155">INDEX(_xlfn._xlws.FILTER(Table13[],Table13[Days To Maturity]=BA$3),MATCH($AY155,Table13[Date_d],0),8)</f>
        <v>#REF!</v>
      </c>
      <c r="BB155" s="78" t="e">
        <f t="array" ref="BB155">INDEX(_xlfn._xlws.FILTER(Table13[],Table13[Days To Maturity]=BB$3),MATCH($AY155,Table13[Date_d],0),8)</f>
        <v>#REF!</v>
      </c>
    </row>
    <row r="156" spans="1:54" x14ac:dyDescent="0.2">
      <c r="A156" s="34">
        <v>43620</v>
      </c>
      <c r="B156" s="35" t="s">
        <v>196</v>
      </c>
      <c r="C156" s="35">
        <v>182</v>
      </c>
      <c r="D156" s="35" t="s">
        <v>20</v>
      </c>
      <c r="E156" s="38">
        <v>4000</v>
      </c>
      <c r="F156" s="38">
        <v>13950</v>
      </c>
      <c r="G156" s="38">
        <v>10440</v>
      </c>
      <c r="H156" s="39">
        <v>8.6300000000000008</v>
      </c>
      <c r="I156" s="39">
        <v>8.6300000000000008</v>
      </c>
      <c r="J156" s="32">
        <f t="array" ref="J15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43803</v>
      </c>
      <c r="K156" s="59">
        <f>IFERROR(Table13[[#This Row],[Bid Accepted]]*(Table13[[#This Row],[WAYR Current]]%/364*Table13[[#This Row],[Days To Maturity]]),0)</f>
        <v>450.48599999999999</v>
      </c>
      <c r="L156" s="41">
        <f>+Table13[[#This Row],[Bid Accepted]]-Table13[[#This Row],[Amount Offered]]</f>
        <v>6440</v>
      </c>
      <c r="M156" s="57">
        <f>+IF(Table13[[#This Row],[WAYR Last]]&gt;0,IF(Table13[[#This Row],[WAYR Current]]&gt;0,(Table13[[#This Row],[WAYR Current]]-Table13[[#This Row],[WAYR Last]]),""),"")</f>
        <v>0</v>
      </c>
      <c r="N156" s="5"/>
      <c r="P156" s="67"/>
      <c r="Q156" s="67"/>
      <c r="R156" s="67"/>
      <c r="S156" s="67"/>
      <c r="T156" s="67"/>
      <c r="U156" s="5"/>
      <c r="V156" s="5"/>
      <c r="AG156" s="5"/>
      <c r="AH156" s="13">
        <v>44181</v>
      </c>
      <c r="AI156" s="78">
        <v>40000</v>
      </c>
      <c r="AJ156" s="78">
        <v>55197</v>
      </c>
      <c r="AK156" s="78">
        <v>26842</v>
      </c>
      <c r="AL156" s="78">
        <v>15197</v>
      </c>
      <c r="AM156" s="78">
        <v>-13158</v>
      </c>
      <c r="AN156" s="78">
        <v>5.01</v>
      </c>
      <c r="AO156" s="77">
        <v>-0.32895000000000002</v>
      </c>
      <c r="AP156" s="77"/>
      <c r="AQ156" s="5"/>
      <c r="AR156" s="5">
        <v>44524</v>
      </c>
      <c r="AS156" s="5">
        <v>6.2445000000000004</v>
      </c>
      <c r="AT156" s="78">
        <v>1.6073333333333333</v>
      </c>
      <c r="AU156" s="78">
        <v>1.0733600000000001</v>
      </c>
      <c r="AV156" s="64">
        <v>2.7568360655737707</v>
      </c>
      <c r="AX156" s="78"/>
      <c r="AY156" s="13">
        <v>44181</v>
      </c>
      <c r="AZ156" s="78" t="e">
        <f t="array" ref="AZ156">INDEX(_xlfn._xlws.FILTER(Table13[],Table13[Days To Maturity]=AZ$3),MATCH($AY156,Table13[Date_d],0),8)</f>
        <v>#REF!</v>
      </c>
      <c r="BA156" s="78" t="e">
        <f t="array" ref="BA156">INDEX(_xlfn._xlws.FILTER(Table13[],Table13[Days To Maturity]=BA$3),MATCH($AY156,Table13[Date_d],0),8)</f>
        <v>#REF!</v>
      </c>
      <c r="BB156" s="78" t="e">
        <f t="array" ref="BB156">INDEX(_xlfn._xlws.FILTER(Table13[],Table13[Days To Maturity]=BB$3),MATCH($AY156,Table13[Date_d],0),8)</f>
        <v>#REF!</v>
      </c>
    </row>
    <row r="157" spans="1:54" x14ac:dyDescent="0.2">
      <c r="A157" s="34">
        <v>43620</v>
      </c>
      <c r="B157" s="35" t="s">
        <v>197</v>
      </c>
      <c r="C157" s="35">
        <v>364</v>
      </c>
      <c r="D157" s="35" t="s">
        <v>20</v>
      </c>
      <c r="E157" s="38">
        <v>14000</v>
      </c>
      <c r="F157" s="38">
        <v>30777</v>
      </c>
      <c r="G157" s="38">
        <v>7227</v>
      </c>
      <c r="H157" s="39">
        <v>8.8800000000000008</v>
      </c>
      <c r="I157" s="39">
        <v>8.8800000000000008</v>
      </c>
      <c r="J157" s="32">
        <f t="array" ref="J15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43986</v>
      </c>
      <c r="K157" s="59">
        <f>IFERROR(Table13[[#This Row],[Bid Accepted]]*(Table13[[#This Row],[WAYR Current]]%/364*Table13[[#This Row],[Days To Maturity]]),0)</f>
        <v>641.75760000000002</v>
      </c>
      <c r="L157" s="41">
        <f>+Table13[[#This Row],[Bid Accepted]]-Table13[[#This Row],[Amount Offered]]</f>
        <v>-6773</v>
      </c>
      <c r="M157" s="57">
        <f>+IF(Table13[[#This Row],[WAYR Last]]&gt;0,IF(Table13[[#This Row],[WAYR Current]]&gt;0,(Table13[[#This Row],[WAYR Current]]-Table13[[#This Row],[WAYR Last]]),""),"")</f>
        <v>0</v>
      </c>
      <c r="N157" s="5"/>
      <c r="P157" s="67"/>
      <c r="Q157" s="67"/>
      <c r="R157" s="67"/>
      <c r="S157" s="67"/>
      <c r="T157" s="67"/>
      <c r="U157" s="5"/>
      <c r="V157" s="5"/>
      <c r="AG157" s="5"/>
      <c r="AH157" s="13">
        <v>44187</v>
      </c>
      <c r="AI157" s="78">
        <v>40000</v>
      </c>
      <c r="AJ157" s="78">
        <v>56173</v>
      </c>
      <c r="AK157" s="78">
        <v>20718</v>
      </c>
      <c r="AL157" s="78">
        <v>16173</v>
      </c>
      <c r="AM157" s="78">
        <v>-19282</v>
      </c>
      <c r="AN157" s="78">
        <v>5.03</v>
      </c>
      <c r="AO157" s="77">
        <v>-0.48204999999999998</v>
      </c>
      <c r="AP157" s="77"/>
      <c r="AQ157" s="5"/>
      <c r="AR157" s="5">
        <v>44531</v>
      </c>
      <c r="AS157" s="5">
        <v>4.5789444444444447</v>
      </c>
      <c r="AT157" s="78">
        <v>2.6996500000000001</v>
      </c>
      <c r="AU157" s="78">
        <v>1.125</v>
      </c>
      <c r="AV157" s="64">
        <v>2.6860666666666666</v>
      </c>
      <c r="AX157" s="78"/>
      <c r="AY157" s="13">
        <v>44187</v>
      </c>
      <c r="AZ157" s="78" t="e">
        <f t="array" ref="AZ157">INDEX(_xlfn._xlws.FILTER(Table13[],Table13[Days To Maturity]=AZ$3),MATCH($AY157,Table13[Date_d],0),8)</f>
        <v>#REF!</v>
      </c>
      <c r="BA157" s="78" t="e">
        <f t="array" ref="BA157">INDEX(_xlfn._xlws.FILTER(Table13[],Table13[Days To Maturity]=BA$3),MATCH($AY157,Table13[Date_d],0),8)</f>
        <v>#REF!</v>
      </c>
      <c r="BB157" s="78" t="e">
        <f t="array" ref="BB157">INDEX(_xlfn._xlws.FILTER(Table13[],Table13[Days To Maturity]=BB$3),MATCH($AY157,Table13[Date_d],0),8)</f>
        <v>#REF!</v>
      </c>
    </row>
    <row r="158" spans="1:54" x14ac:dyDescent="0.2">
      <c r="A158" s="34">
        <v>43628</v>
      </c>
      <c r="B158" s="35" t="s">
        <v>198</v>
      </c>
      <c r="C158" s="35">
        <v>91</v>
      </c>
      <c r="D158" s="35" t="s">
        <v>20</v>
      </c>
      <c r="E158" s="38">
        <v>3000</v>
      </c>
      <c r="F158" s="38">
        <v>9550</v>
      </c>
      <c r="G158" s="38">
        <v>6800</v>
      </c>
      <c r="H158" s="39">
        <v>8.3800000000000008</v>
      </c>
      <c r="I158" s="39">
        <v>8.3800000000000008</v>
      </c>
      <c r="J158" s="32">
        <f t="array" ref="J15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43720</v>
      </c>
      <c r="K158" s="59">
        <f>IFERROR(Table13[[#This Row],[Bid Accepted]]*(Table13[[#This Row],[WAYR Current]]%/364*Table13[[#This Row],[Days To Maturity]]),0)</f>
        <v>142.46000000000004</v>
      </c>
      <c r="L158" s="41">
        <f>+Table13[[#This Row],[Bid Accepted]]-Table13[[#This Row],[Amount Offered]]</f>
        <v>3800</v>
      </c>
      <c r="M158" s="57">
        <f>+IF(Table13[[#This Row],[WAYR Last]]&gt;0,IF(Table13[[#This Row],[WAYR Current]]&gt;0,(Table13[[#This Row],[WAYR Current]]-Table13[[#This Row],[WAYR Last]]),""),"")</f>
        <v>0</v>
      </c>
      <c r="N158" s="5"/>
      <c r="P158" s="67"/>
      <c r="Q158" s="67"/>
      <c r="R158" s="67"/>
      <c r="S158" s="67"/>
      <c r="T158" s="67"/>
      <c r="U158" s="5"/>
      <c r="V158" s="5"/>
      <c r="AG158" s="5"/>
      <c r="AH158" s="13">
        <v>44195</v>
      </c>
      <c r="AI158" s="78">
        <v>40000</v>
      </c>
      <c r="AJ158" s="78">
        <v>53324</v>
      </c>
      <c r="AK158" s="78">
        <v>18769</v>
      </c>
      <c r="AL158" s="78">
        <v>13324</v>
      </c>
      <c r="AM158" s="78">
        <v>-21231</v>
      </c>
      <c r="AN158" s="78">
        <v>5.05</v>
      </c>
      <c r="AO158" s="77">
        <v>-0.530775</v>
      </c>
      <c r="AP158" s="77"/>
      <c r="AQ158" s="5"/>
      <c r="AR158" s="5">
        <v>44552</v>
      </c>
      <c r="AS158" s="5">
        <v>2.9434814814814816</v>
      </c>
      <c r="AT158" s="78">
        <v>1.506</v>
      </c>
      <c r="AU158" s="78">
        <v>1.0800588235294117</v>
      </c>
      <c r="AV158" s="64">
        <v>1.7621052631578948</v>
      </c>
      <c r="AX158" s="78"/>
      <c r="AY158" s="13">
        <v>44195</v>
      </c>
      <c r="AZ158" s="78" t="e">
        <f t="array" ref="AZ158">INDEX(_xlfn._xlws.FILTER(Table13[],Table13[Days To Maturity]=AZ$3),MATCH($AY158,Table13[Date_d],0),8)</f>
        <v>#REF!</v>
      </c>
      <c r="BA158" s="78" t="e">
        <f t="array" ref="BA158">INDEX(_xlfn._xlws.FILTER(Table13[],Table13[Days To Maturity]=BA$3),MATCH($AY158,Table13[Date_d],0),8)</f>
        <v>#REF!</v>
      </c>
      <c r="BB158" s="78" t="e">
        <f t="array" ref="BB158">INDEX(_xlfn._xlws.FILTER(Table13[],Table13[Days To Maturity]=BB$3),MATCH($AY158,Table13[Date_d],0),8)</f>
        <v>#REF!</v>
      </c>
    </row>
    <row r="159" spans="1:54" x14ac:dyDescent="0.2">
      <c r="A159" s="9">
        <v>43628</v>
      </c>
      <c r="B159" s="10" t="s">
        <v>199</v>
      </c>
      <c r="C159" s="10">
        <v>182</v>
      </c>
      <c r="D159" s="10" t="s">
        <v>20</v>
      </c>
      <c r="E159" s="18">
        <v>5000</v>
      </c>
      <c r="F159" s="18">
        <v>20266</v>
      </c>
      <c r="G159" s="18">
        <v>10934</v>
      </c>
      <c r="H159" s="37">
        <v>8.6300000000000008</v>
      </c>
      <c r="I159" s="37">
        <v>8.6300000000000008</v>
      </c>
      <c r="J159" s="32">
        <f t="array" ref="J15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43811</v>
      </c>
      <c r="K159" s="59">
        <f>IFERROR(Table13[[#This Row],[Bid Accepted]]*(Table13[[#This Row],[WAYR Current]]%/364*Table13[[#This Row],[Days To Maturity]]),0)</f>
        <v>471.8021</v>
      </c>
      <c r="L159" s="41">
        <f>+Table13[[#This Row],[Bid Accepted]]-Table13[[#This Row],[Amount Offered]]</f>
        <v>5934</v>
      </c>
      <c r="M159" s="57">
        <f>+IF(Table13[[#This Row],[WAYR Last]]&gt;0,IF(Table13[[#This Row],[WAYR Current]]&gt;0,(Table13[[#This Row],[WAYR Current]]-Table13[[#This Row],[WAYR Last]]),""),"")</f>
        <v>0</v>
      </c>
      <c r="N159" s="5"/>
      <c r="P159" s="67"/>
      <c r="Q159" s="67"/>
      <c r="R159" s="67"/>
      <c r="S159" s="67"/>
      <c r="T159" s="67"/>
      <c r="U159" s="5"/>
      <c r="V159" s="5"/>
      <c r="AG159" s="5"/>
      <c r="AH159" s="13">
        <v>44202</v>
      </c>
      <c r="AI159" s="78">
        <v>40000</v>
      </c>
      <c r="AJ159" s="78">
        <v>86324</v>
      </c>
      <c r="AK159" s="78">
        <v>40000</v>
      </c>
      <c r="AL159" s="78">
        <v>46324</v>
      </c>
      <c r="AM159" s="78">
        <v>0</v>
      </c>
      <c r="AN159" s="78">
        <v>5.05</v>
      </c>
      <c r="AO159" s="77">
        <v>0</v>
      </c>
      <c r="AP159" s="77"/>
      <c r="AQ159" s="5"/>
      <c r="AR159" s="5">
        <v>44559</v>
      </c>
      <c r="AS159" s="5">
        <v>3.4790370370370369</v>
      </c>
      <c r="AT159" s="78">
        <v>1.0484</v>
      </c>
      <c r="AU159" s="78">
        <v>1.0509999999999999</v>
      </c>
      <c r="AV159" s="64">
        <v>1.7257731958762887</v>
      </c>
      <c r="AX159" s="78"/>
      <c r="AY159" s="13">
        <v>44202</v>
      </c>
      <c r="AZ159" s="78" t="e">
        <f t="array" ref="AZ159">INDEX(_xlfn._xlws.FILTER(Table13[],Table13[Days To Maturity]=AZ$3),MATCH($AY159,Table13[Date_d],0),8)</f>
        <v>#REF!</v>
      </c>
      <c r="BA159" s="78" t="e">
        <f t="array" ref="BA159">INDEX(_xlfn._xlws.FILTER(Table13[],Table13[Days To Maturity]=BA$3),MATCH($AY159,Table13[Date_d],0),8)</f>
        <v>#REF!</v>
      </c>
      <c r="BB159" s="78" t="e">
        <f t="array" ref="BB159">INDEX(_xlfn._xlws.FILTER(Table13[],Table13[Days To Maturity]=BB$3),MATCH($AY159,Table13[Date_d],0),8)</f>
        <v>#REF!</v>
      </c>
    </row>
    <row r="160" spans="1:54" x14ac:dyDescent="0.2">
      <c r="A160" s="9">
        <v>43628</v>
      </c>
      <c r="B160" s="10" t="s">
        <v>200</v>
      </c>
      <c r="C160" s="10">
        <v>364</v>
      </c>
      <c r="D160" s="10" t="s">
        <v>20</v>
      </c>
      <c r="E160" s="18">
        <v>11000</v>
      </c>
      <c r="F160" s="18">
        <v>22900</v>
      </c>
      <c r="G160" s="18" t="s">
        <v>189</v>
      </c>
      <c r="H160" s="37" t="s">
        <v>189</v>
      </c>
      <c r="I160" s="37">
        <v>8.8800000000000008</v>
      </c>
      <c r="J160" s="32">
        <f t="array" ref="J16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43994</v>
      </c>
      <c r="K160" s="59">
        <f>IFERROR(Table13[[#This Row],[Bid Accepted]]*(Table13[[#This Row],[WAYR Current]]%/364*Table13[[#This Row],[Days To Maturity]]),0)</f>
        <v>0</v>
      </c>
      <c r="L160" s="41" t="e">
        <f>+Table13[[#This Row],[Bid Accepted]]-Table13[[#This Row],[Amount Offered]]</f>
        <v>#VALUE!</v>
      </c>
      <c r="M160" s="57" t="e">
        <f>+IF(Table13[[#This Row],[WAYR Last]]&gt;0,IF(Table13[[#This Row],[WAYR Current]]&gt;0,(Table13[[#This Row],[WAYR Current]]-Table13[[#This Row],[WAYR Last]]),""),"")</f>
        <v>#VALUE!</v>
      </c>
      <c r="N160" s="5"/>
      <c r="P160" s="67"/>
      <c r="Q160" s="67"/>
      <c r="R160" s="67"/>
      <c r="S160" s="67"/>
      <c r="T160" s="67"/>
      <c r="U160" s="5"/>
      <c r="V160" s="5"/>
      <c r="AG160" s="5"/>
      <c r="AH160" s="13">
        <v>44208</v>
      </c>
      <c r="AI160" s="78">
        <v>40000</v>
      </c>
      <c r="AJ160" s="78">
        <v>106996</v>
      </c>
      <c r="AK160" s="78">
        <v>40000</v>
      </c>
      <c r="AL160" s="78">
        <v>66996</v>
      </c>
      <c r="AM160" s="78">
        <v>0</v>
      </c>
      <c r="AN160" s="78">
        <v>5.0199999999999996</v>
      </c>
      <c r="AO160" s="77">
        <v>0</v>
      </c>
      <c r="AP160" s="77"/>
      <c r="AQ160" s="5"/>
      <c r="AR160" s="5">
        <v>44566</v>
      </c>
      <c r="AS160" s="5">
        <v>4.3403999999999998</v>
      </c>
      <c r="AT160" s="78">
        <v>1.1256785714285715</v>
      </c>
      <c r="AU160" s="78">
        <v>1.0945581395348838</v>
      </c>
      <c r="AV160" s="64">
        <v>2.1954630872483221</v>
      </c>
      <c r="AX160" s="78"/>
      <c r="AY160" s="13">
        <v>44208</v>
      </c>
      <c r="AZ160" s="78" t="e">
        <f t="array" ref="AZ160">INDEX(_xlfn._xlws.FILTER(Table13[],Table13[Days To Maturity]=AZ$3),MATCH($AY160,Table13[Date_d],0),8)</f>
        <v>#REF!</v>
      </c>
      <c r="BA160" s="78" t="e">
        <f t="array" ref="BA160">INDEX(_xlfn._xlws.FILTER(Table13[],Table13[Days To Maturity]=BA$3),MATCH($AY160,Table13[Date_d],0),8)</f>
        <v>#REF!</v>
      </c>
      <c r="BB160" s="78" t="e">
        <f t="array" ref="BB160">INDEX(_xlfn._xlws.FILTER(Table13[],Table13[Days To Maturity]=BB$3),MATCH($AY160,Table13[Date_d],0),8)</f>
        <v>#REF!</v>
      </c>
    </row>
    <row r="161" spans="1:54" x14ac:dyDescent="0.2">
      <c r="A161" s="9">
        <v>43635</v>
      </c>
      <c r="B161" s="10" t="s">
        <v>201</v>
      </c>
      <c r="C161" s="10">
        <v>91</v>
      </c>
      <c r="D161" s="10" t="s">
        <v>20</v>
      </c>
      <c r="E161" s="18">
        <v>6000</v>
      </c>
      <c r="F161" s="18">
        <v>16850</v>
      </c>
      <c r="G161" s="18">
        <v>6000</v>
      </c>
      <c r="H161" s="37">
        <v>8.3800000000000008</v>
      </c>
      <c r="I161" s="37">
        <v>8.3800000000000008</v>
      </c>
      <c r="J161" s="32">
        <f t="array" ref="J16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43727</v>
      </c>
      <c r="K161" s="59">
        <f>IFERROR(Table13[[#This Row],[Bid Accepted]]*(Table13[[#This Row],[WAYR Current]]%/364*Table13[[#This Row],[Days To Maturity]]),0)</f>
        <v>125.70000000000002</v>
      </c>
      <c r="L161" s="41">
        <f>+Table13[[#This Row],[Bid Accepted]]-Table13[[#This Row],[Amount Offered]]</f>
        <v>0</v>
      </c>
      <c r="M161" s="57">
        <f>+IF(Table13[[#This Row],[WAYR Last]]&gt;0,IF(Table13[[#This Row],[WAYR Current]]&gt;0,(Table13[[#This Row],[WAYR Current]]-Table13[[#This Row],[WAYR Last]]),""),"")</f>
        <v>0</v>
      </c>
      <c r="N161" s="5"/>
      <c r="P161" s="67"/>
      <c r="Q161" s="67"/>
      <c r="R161" s="67"/>
      <c r="S161" s="67"/>
      <c r="T161" s="67"/>
      <c r="U161" s="5"/>
      <c r="V161" s="5"/>
      <c r="AG161" s="5"/>
      <c r="AH161" s="13">
        <v>44216</v>
      </c>
      <c r="AI161" s="78">
        <v>40000</v>
      </c>
      <c r="AJ161" s="78">
        <v>87233</v>
      </c>
      <c r="AK161" s="78">
        <v>40000</v>
      </c>
      <c r="AL161" s="78">
        <v>47233</v>
      </c>
      <c r="AM161" s="78">
        <v>0</v>
      </c>
      <c r="AN161" s="78">
        <v>4.99</v>
      </c>
      <c r="AO161" s="77">
        <v>0</v>
      </c>
      <c r="AP161" s="77"/>
      <c r="AQ161" s="5"/>
      <c r="AR161" s="5">
        <v>44573</v>
      </c>
      <c r="AS161" s="5">
        <v>7.9698888888888888</v>
      </c>
      <c r="AT161" s="78">
        <v>1.0961587301587301</v>
      </c>
      <c r="AU161" s="78">
        <v>1.0533333333333332</v>
      </c>
      <c r="AV161" s="64">
        <v>2.6070000000000002</v>
      </c>
      <c r="AX161" s="78"/>
      <c r="AY161" s="13">
        <v>44216</v>
      </c>
      <c r="AZ161" s="78" t="e">
        <f t="array" ref="AZ161">INDEX(_xlfn._xlws.FILTER(Table13[],Table13[Days To Maturity]=AZ$3),MATCH($AY161,Table13[Date_d],0),8)</f>
        <v>#REF!</v>
      </c>
      <c r="BA161" s="78" t="e">
        <f t="array" ref="BA161">INDEX(_xlfn._xlws.FILTER(Table13[],Table13[Days To Maturity]=BA$3),MATCH($AY161,Table13[Date_d],0),8)</f>
        <v>#REF!</v>
      </c>
      <c r="BB161" s="78" t="e">
        <f t="array" ref="BB161">INDEX(_xlfn._xlws.FILTER(Table13[],Table13[Days To Maturity]=BB$3),MATCH($AY161,Table13[Date_d],0),8)</f>
        <v>#REF!</v>
      </c>
    </row>
    <row r="162" spans="1:54" x14ac:dyDescent="0.2">
      <c r="A162" s="34">
        <v>43635</v>
      </c>
      <c r="B162" s="35" t="s">
        <v>202</v>
      </c>
      <c r="C162" s="35">
        <v>182</v>
      </c>
      <c r="D162" s="35" t="s">
        <v>20</v>
      </c>
      <c r="E162" s="38">
        <v>4000</v>
      </c>
      <c r="F162" s="38">
        <v>18755</v>
      </c>
      <c r="G162" s="38">
        <v>4000</v>
      </c>
      <c r="H162" s="39">
        <v>8.6</v>
      </c>
      <c r="I162" s="39">
        <v>8.6300000000000008</v>
      </c>
      <c r="J162" s="32">
        <f t="array" ref="J16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43818</v>
      </c>
      <c r="K162" s="59">
        <f>IFERROR(Table13[[#This Row],[Bid Accepted]]*(Table13[[#This Row],[WAYR Current]]%/364*Table13[[#This Row],[Days To Maturity]]),0)</f>
        <v>172</v>
      </c>
      <c r="L162" s="41">
        <f>+Table13[[#This Row],[Bid Accepted]]-Table13[[#This Row],[Amount Offered]]</f>
        <v>0</v>
      </c>
      <c r="M162" s="57">
        <f>+IF(Table13[[#This Row],[WAYR Last]]&gt;0,IF(Table13[[#This Row],[WAYR Current]]&gt;0,(Table13[[#This Row],[WAYR Current]]-Table13[[#This Row],[WAYR Last]]),""),"")</f>
        <v>-3.0000000000001137E-2</v>
      </c>
      <c r="N162" s="5"/>
      <c r="P162" s="67"/>
      <c r="Q162" s="67"/>
      <c r="R162" s="67"/>
      <c r="S162" s="67"/>
      <c r="T162" s="67"/>
      <c r="U162" s="5"/>
      <c r="V162" s="5"/>
      <c r="AG162" s="5"/>
      <c r="AH162" s="13">
        <v>44222</v>
      </c>
      <c r="AI162" s="78">
        <v>40000</v>
      </c>
      <c r="AJ162" s="78">
        <v>53294</v>
      </c>
      <c r="AK162" s="78">
        <v>25004</v>
      </c>
      <c r="AL162" s="78">
        <v>13294</v>
      </c>
      <c r="AM162" s="78">
        <v>-14996</v>
      </c>
      <c r="AN162" s="78">
        <v>4.9800000000000004</v>
      </c>
      <c r="AO162" s="77">
        <v>-0.37490000000000001</v>
      </c>
      <c r="AP162" s="77"/>
      <c r="AQ162" s="5"/>
      <c r="AR162" s="5">
        <v>44580</v>
      </c>
      <c r="AS162" s="5">
        <v>4.221742857142857</v>
      </c>
      <c r="AT162" s="78">
        <v>1.0044444444444445</v>
      </c>
      <c r="AU162" s="78">
        <v>1.0018571428571428</v>
      </c>
      <c r="AV162" s="64">
        <v>2.1643917525773197</v>
      </c>
      <c r="AX162" s="78"/>
      <c r="AY162" s="13">
        <v>44222</v>
      </c>
      <c r="AZ162" s="78" t="e">
        <f t="array" ref="AZ162">INDEX(_xlfn._xlws.FILTER(Table13[],Table13[Days To Maturity]=AZ$3),MATCH($AY162,Table13[Date_d],0),8)</f>
        <v>#REF!</v>
      </c>
      <c r="BA162" s="78" t="e">
        <f t="array" ref="BA162">INDEX(_xlfn._xlws.FILTER(Table13[],Table13[Days To Maturity]=BA$3),MATCH($AY162,Table13[Date_d],0),8)</f>
        <v>#REF!</v>
      </c>
      <c r="BB162" s="78" t="e">
        <f t="array" ref="BB162">INDEX(_xlfn._xlws.FILTER(Table13[],Table13[Days To Maturity]=BB$3),MATCH($AY162,Table13[Date_d],0),8)</f>
        <v>#REF!</v>
      </c>
    </row>
    <row r="163" spans="1:54" x14ac:dyDescent="0.2">
      <c r="A163" s="34">
        <v>43635</v>
      </c>
      <c r="B163" s="35" t="s">
        <v>203</v>
      </c>
      <c r="C163" s="35">
        <v>364</v>
      </c>
      <c r="D163" s="35" t="s">
        <v>20</v>
      </c>
      <c r="E163" s="38">
        <v>9000</v>
      </c>
      <c r="F163" s="38">
        <v>25665</v>
      </c>
      <c r="G163" s="38">
        <v>9000</v>
      </c>
      <c r="H163" s="39">
        <v>8.86</v>
      </c>
      <c r="I163" s="39" t="s">
        <v>189</v>
      </c>
      <c r="J163" s="32">
        <f t="array" ref="J16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44001</v>
      </c>
      <c r="K163" s="59">
        <f>IFERROR(Table13[[#This Row],[Bid Accepted]]*(Table13[[#This Row],[WAYR Current]]%/364*Table13[[#This Row],[Days To Maturity]]),0)</f>
        <v>797.4</v>
      </c>
      <c r="L163" s="41">
        <f>+Table13[[#This Row],[Bid Accepted]]-Table13[[#This Row],[Amount Offered]]</f>
        <v>0</v>
      </c>
      <c r="M163" s="57" t="e">
        <f>+IF(Table13[[#This Row],[WAYR Last]]&gt;0,IF(Table13[[#This Row],[WAYR Current]]&gt;0,(Table13[[#This Row],[WAYR Current]]-Table13[[#This Row],[WAYR Last]]),""),"")</f>
        <v>#VALUE!</v>
      </c>
      <c r="N163" s="5"/>
      <c r="P163" s="67"/>
      <c r="Q163" s="67"/>
      <c r="R163" s="67"/>
      <c r="S163" s="67"/>
      <c r="T163" s="67"/>
      <c r="U163" s="5"/>
      <c r="V163" s="5"/>
      <c r="AG163" s="5"/>
      <c r="AH163" s="13">
        <v>44229</v>
      </c>
      <c r="AI163" s="78">
        <v>40000</v>
      </c>
      <c r="AJ163" s="78">
        <v>54085</v>
      </c>
      <c r="AK163" s="78">
        <v>22745</v>
      </c>
      <c r="AL163" s="78">
        <v>14085</v>
      </c>
      <c r="AM163" s="78">
        <v>-17255</v>
      </c>
      <c r="AN163" s="78">
        <v>5.0199999999999996</v>
      </c>
      <c r="AO163" s="77">
        <v>-0.43137500000000001</v>
      </c>
      <c r="AP163" s="77"/>
      <c r="AQ163" s="5"/>
      <c r="AR163" s="5">
        <v>44587</v>
      </c>
      <c r="AS163" s="5">
        <v>4.7174666666666667</v>
      </c>
      <c r="AT163" s="78">
        <v>1.0643902439024391</v>
      </c>
      <c r="AU163" s="78">
        <v>1.0365666666666666</v>
      </c>
      <c r="AV163" s="64">
        <v>2.415416149068323</v>
      </c>
      <c r="AX163" s="78"/>
      <c r="AY163" s="13">
        <v>44229</v>
      </c>
      <c r="AZ163" s="78" t="e">
        <f t="array" ref="AZ163">INDEX(_xlfn._xlws.FILTER(Table13[],Table13[Days To Maturity]=AZ$3),MATCH($AY163,Table13[Date_d],0),8)</f>
        <v>#REF!</v>
      </c>
      <c r="BA163" s="78" t="e">
        <f t="array" ref="BA163">INDEX(_xlfn._xlws.FILTER(Table13[],Table13[Days To Maturity]=BA$3),MATCH($AY163,Table13[Date_d],0),8)</f>
        <v>#REF!</v>
      </c>
      <c r="BB163" s="78" t="e">
        <f t="array" ref="BB163">INDEX(_xlfn._xlws.FILTER(Table13[],Table13[Days To Maturity]=BB$3),MATCH($AY163,Table13[Date_d],0),8)</f>
        <v>#REF!</v>
      </c>
    </row>
    <row r="164" spans="1:54" x14ac:dyDescent="0.2">
      <c r="A164" s="9">
        <v>43642</v>
      </c>
      <c r="B164" s="10" t="s">
        <v>204</v>
      </c>
      <c r="C164" s="10">
        <v>91</v>
      </c>
      <c r="D164" s="10" t="s">
        <v>20</v>
      </c>
      <c r="E164" s="18">
        <v>3000</v>
      </c>
      <c r="F164" s="18">
        <v>12500</v>
      </c>
      <c r="G164" s="18">
        <v>3000</v>
      </c>
      <c r="H164" s="37">
        <v>8.24</v>
      </c>
      <c r="I164" s="37">
        <v>8.3800000000000008</v>
      </c>
      <c r="J164" s="32">
        <f t="array" ref="J16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43734</v>
      </c>
      <c r="K164" s="59">
        <f>IFERROR(Table13[[#This Row],[Bid Accepted]]*(Table13[[#This Row],[WAYR Current]]%/364*Table13[[#This Row],[Days To Maturity]]),0)</f>
        <v>61.800000000000004</v>
      </c>
      <c r="L164" s="41">
        <f>+Table13[[#This Row],[Bid Accepted]]-Table13[[#This Row],[Amount Offered]]</f>
        <v>0</v>
      </c>
      <c r="M164" s="57">
        <f>+IF(Table13[[#This Row],[WAYR Last]]&gt;0,IF(Table13[[#This Row],[WAYR Current]]&gt;0,(Table13[[#This Row],[WAYR Current]]-Table13[[#This Row],[WAYR Last]]),""),"")</f>
        <v>-0.14000000000000057</v>
      </c>
      <c r="N164" s="5"/>
      <c r="P164" s="67"/>
      <c r="Q164" s="67"/>
      <c r="R164" s="67"/>
      <c r="S164" s="67"/>
      <c r="T164" s="67"/>
      <c r="U164" s="5"/>
      <c r="V164" s="5"/>
      <c r="AG164" s="5"/>
      <c r="AH164" s="13">
        <v>44233</v>
      </c>
      <c r="AI164" s="78">
        <v>51000</v>
      </c>
      <c r="AJ164" s="78">
        <v>70851</v>
      </c>
      <c r="AK164" s="78">
        <v>30723</v>
      </c>
      <c r="AL164" s="78">
        <v>19851</v>
      </c>
      <c r="AM164" s="78">
        <v>-20277</v>
      </c>
      <c r="AN164" s="78">
        <v>5.21</v>
      </c>
      <c r="AO164" s="77">
        <v>-0.39758823529411763</v>
      </c>
      <c r="AP164" s="77"/>
      <c r="AQ164" s="5"/>
      <c r="AR164" s="5">
        <v>44594</v>
      </c>
      <c r="AS164" s="5">
        <v>4.8277105263157898</v>
      </c>
      <c r="AT164" s="78">
        <v>1.0278048780487805</v>
      </c>
      <c r="AU164" s="78">
        <v>1.0063333333333333</v>
      </c>
      <c r="AV164" s="64">
        <v>2.6521242937853109</v>
      </c>
      <c r="AX164" s="78"/>
      <c r="AY164" s="13">
        <v>44233</v>
      </c>
      <c r="AZ164" s="78" t="e">
        <f t="array" ref="AZ164">INDEX(_xlfn._xlws.FILTER(Table13[],Table13[Days To Maturity]=AZ$3),MATCH($AY164,Table13[Date_d],0),8)</f>
        <v>#REF!</v>
      </c>
      <c r="BA164" s="78" t="e">
        <f t="array" ref="BA164">INDEX(_xlfn._xlws.FILTER(Table13[],Table13[Days To Maturity]=BA$3),MATCH($AY164,Table13[Date_d],0),8)</f>
        <v>#REF!</v>
      </c>
      <c r="BB164" s="78" t="e">
        <f t="array" ref="BB164">INDEX(_xlfn._xlws.FILTER(Table13[],Table13[Days To Maturity]=BB$3),MATCH($AY164,Table13[Date_d],0),8)</f>
        <v>#REF!</v>
      </c>
    </row>
    <row r="165" spans="1:54" x14ac:dyDescent="0.2">
      <c r="A165" s="9">
        <v>43642</v>
      </c>
      <c r="B165" s="10" t="s">
        <v>205</v>
      </c>
      <c r="C165" s="10">
        <v>182</v>
      </c>
      <c r="D165" s="10" t="s">
        <v>20</v>
      </c>
      <c r="E165" s="18">
        <v>5000</v>
      </c>
      <c r="F165" s="18">
        <v>20820</v>
      </c>
      <c r="G165" s="18">
        <v>5000</v>
      </c>
      <c r="H165" s="37">
        <v>8.49</v>
      </c>
      <c r="I165" s="37">
        <v>8.6</v>
      </c>
      <c r="J165" s="32">
        <f t="array" ref="J16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43825</v>
      </c>
      <c r="K165" s="59">
        <f>IFERROR(Table13[[#This Row],[Bid Accepted]]*(Table13[[#This Row],[WAYR Current]]%/364*Table13[[#This Row],[Days To Maturity]]),0)</f>
        <v>212.25</v>
      </c>
      <c r="L165" s="41">
        <f>+Table13[[#This Row],[Bid Accepted]]-Table13[[#This Row],[Amount Offered]]</f>
        <v>0</v>
      </c>
      <c r="M165" s="57">
        <f>+IF(Table13[[#This Row],[WAYR Last]]&gt;0,IF(Table13[[#This Row],[WAYR Current]]&gt;0,(Table13[[#This Row],[WAYR Current]]-Table13[[#This Row],[WAYR Last]]),""),"")</f>
        <v>-0.10999999999999943</v>
      </c>
      <c r="N165" s="5"/>
      <c r="P165" s="67"/>
      <c r="Q165" s="67"/>
      <c r="R165" s="67"/>
      <c r="S165" s="67"/>
      <c r="T165" s="67"/>
      <c r="U165" s="5"/>
      <c r="V165" s="5"/>
      <c r="AG165" s="5"/>
      <c r="AH165" s="13">
        <v>44237</v>
      </c>
      <c r="AI165" s="78">
        <v>40000</v>
      </c>
      <c r="AJ165" s="78">
        <v>74450</v>
      </c>
      <c r="AK165" s="78">
        <v>13919</v>
      </c>
      <c r="AL165" s="78">
        <v>34450</v>
      </c>
      <c r="AM165" s="78">
        <v>-26081</v>
      </c>
      <c r="AN165" s="78">
        <v>5.04</v>
      </c>
      <c r="AO165" s="77">
        <v>-0.65202499999999997</v>
      </c>
      <c r="AP165" s="77"/>
      <c r="AQ165" s="5"/>
      <c r="AR165" s="5">
        <v>44601</v>
      </c>
      <c r="AS165" s="5">
        <v>4.1099729729729733</v>
      </c>
      <c r="AT165" s="78">
        <v>2.036</v>
      </c>
      <c r="AU165" s="78">
        <v>1.04</v>
      </c>
      <c r="AV165" s="64">
        <v>2.7092077922077924</v>
      </c>
      <c r="AX165" s="78"/>
      <c r="AY165" s="13">
        <v>44237</v>
      </c>
      <c r="AZ165" s="78" t="e">
        <f t="array" ref="AZ165">INDEX(_xlfn._xlws.FILTER(Table13[],Table13[Days To Maturity]=AZ$3),MATCH($AY165,Table13[Date_d],0),8)</f>
        <v>#REF!</v>
      </c>
      <c r="BA165" s="78" t="e">
        <f t="array" ref="BA165">INDEX(_xlfn._xlws.FILTER(Table13[],Table13[Days To Maturity]=BA$3),MATCH($AY165,Table13[Date_d],0),8)</f>
        <v>#REF!</v>
      </c>
      <c r="BB165" s="78" t="e">
        <f t="array" ref="BB165">INDEX(_xlfn._xlws.FILTER(Table13[],Table13[Days To Maturity]=BB$3),MATCH($AY165,Table13[Date_d],0),8)</f>
        <v>#REF!</v>
      </c>
    </row>
    <row r="166" spans="1:54" x14ac:dyDescent="0.2">
      <c r="A166" s="9">
        <v>43642</v>
      </c>
      <c r="B166" s="10" t="s">
        <v>206</v>
      </c>
      <c r="C166" s="10">
        <v>364</v>
      </c>
      <c r="D166" s="10" t="s">
        <v>20</v>
      </c>
      <c r="E166" s="18">
        <v>8500</v>
      </c>
      <c r="F166" s="18">
        <v>47205</v>
      </c>
      <c r="G166" s="18">
        <v>8500</v>
      </c>
      <c r="H166" s="37">
        <v>8.6999999999999993</v>
      </c>
      <c r="I166" s="37">
        <v>8.86</v>
      </c>
      <c r="J166" s="32">
        <f t="array" ref="J16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44008</v>
      </c>
      <c r="K166" s="59">
        <f>IFERROR(Table13[[#This Row],[Bid Accepted]]*(Table13[[#This Row],[WAYR Current]]%/364*Table13[[#This Row],[Days To Maturity]]),0)</f>
        <v>739.5</v>
      </c>
      <c r="L166" s="41">
        <f>+Table13[[#This Row],[Bid Accepted]]-Table13[[#This Row],[Amount Offered]]</f>
        <v>0</v>
      </c>
      <c r="M166" s="57">
        <f>+IF(Table13[[#This Row],[WAYR Last]]&gt;0,IF(Table13[[#This Row],[WAYR Current]]&gt;0,(Table13[[#This Row],[WAYR Current]]-Table13[[#This Row],[WAYR Last]]),""),"")</f>
        <v>-0.16000000000000014</v>
      </c>
      <c r="N166" s="5"/>
      <c r="P166" s="67"/>
      <c r="Q166" s="67"/>
      <c r="R166" s="67"/>
      <c r="S166" s="67"/>
      <c r="T166" s="67"/>
      <c r="U166" s="5"/>
      <c r="V166" s="5"/>
      <c r="AG166" s="5"/>
      <c r="AH166" s="13">
        <v>44244</v>
      </c>
      <c r="AI166" s="78">
        <v>38000</v>
      </c>
      <c r="AJ166" s="78">
        <v>54999</v>
      </c>
      <c r="AK166" s="78">
        <v>16704</v>
      </c>
      <c r="AL166" s="78">
        <v>16999</v>
      </c>
      <c r="AM166" s="78">
        <v>-21296</v>
      </c>
      <c r="AN166" s="78">
        <v>5.09</v>
      </c>
      <c r="AO166" s="77">
        <v>-0.56042105263157893</v>
      </c>
      <c r="AP166" s="77"/>
      <c r="AQ166" s="5"/>
      <c r="AR166" s="5">
        <v>44607</v>
      </c>
      <c r="AS166" s="5">
        <v>2.8612307692307692</v>
      </c>
      <c r="AT166" s="78">
        <v>1.1436666666666666</v>
      </c>
      <c r="AU166" s="78">
        <v>1.0212000000000001</v>
      </c>
      <c r="AV166" s="64">
        <v>1.9528227848101265</v>
      </c>
      <c r="AX166" s="78"/>
      <c r="AY166" s="13">
        <v>44244</v>
      </c>
      <c r="AZ166" s="78" t="e">
        <f t="array" ref="AZ166">INDEX(_xlfn._xlws.FILTER(Table13[],Table13[Days To Maturity]=AZ$3),MATCH($AY166,Table13[Date_d],0),8)</f>
        <v>#REF!</v>
      </c>
      <c r="BA166" s="78" t="e">
        <f t="array" ref="BA166">INDEX(_xlfn._xlws.FILTER(Table13[],Table13[Days To Maturity]=BA$3),MATCH($AY166,Table13[Date_d],0),8)</f>
        <v>#REF!</v>
      </c>
      <c r="BB166" s="78" t="e">
        <f t="array" ref="BB166">INDEX(_xlfn._xlws.FILTER(Table13[],Table13[Days To Maturity]=BB$3),MATCH($AY166,Table13[Date_d],0),8)</f>
        <v>#REF!</v>
      </c>
    </row>
    <row r="167" spans="1:54" x14ac:dyDescent="0.2">
      <c r="A167" s="9">
        <v>43649</v>
      </c>
      <c r="B167" s="10" t="s">
        <v>207</v>
      </c>
      <c r="C167" s="10">
        <v>91</v>
      </c>
      <c r="D167" s="10" t="s">
        <v>20</v>
      </c>
      <c r="E167" s="18">
        <v>7500</v>
      </c>
      <c r="F167" s="18">
        <v>18687</v>
      </c>
      <c r="G167" s="18">
        <v>7500</v>
      </c>
      <c r="H167" s="37">
        <v>8.17</v>
      </c>
      <c r="I167" s="37">
        <v>8.24</v>
      </c>
      <c r="J167" s="32">
        <f t="array" ref="J16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43741</v>
      </c>
      <c r="K167" s="59">
        <f>IFERROR(Table13[[#This Row],[Bid Accepted]]*(Table13[[#This Row],[WAYR Current]]%/364*Table13[[#This Row],[Days To Maturity]]),0)</f>
        <v>153.1875</v>
      </c>
      <c r="L167" s="41">
        <f>+Table13[[#This Row],[Bid Accepted]]-Table13[[#This Row],[Amount Offered]]</f>
        <v>0</v>
      </c>
      <c r="M167" s="57">
        <f>+IF(Table13[[#This Row],[WAYR Last]]&gt;0,IF(Table13[[#This Row],[WAYR Current]]&gt;0,(Table13[[#This Row],[WAYR Current]]-Table13[[#This Row],[WAYR Last]]),""),"")</f>
        <v>-7.0000000000000284E-2</v>
      </c>
      <c r="N167" s="5"/>
      <c r="P167" s="67"/>
      <c r="Q167" s="67"/>
      <c r="R167" s="67"/>
      <c r="S167" s="67"/>
      <c r="T167" s="67"/>
      <c r="U167" s="5"/>
      <c r="V167" s="5"/>
      <c r="AG167" s="5"/>
      <c r="AH167" s="13">
        <v>44250</v>
      </c>
      <c r="AI167" s="78">
        <v>42500</v>
      </c>
      <c r="AJ167" s="78">
        <v>56221</v>
      </c>
      <c r="AK167" s="78">
        <v>16811</v>
      </c>
      <c r="AL167" s="78">
        <v>13721</v>
      </c>
      <c r="AM167" s="78">
        <v>-25689</v>
      </c>
      <c r="AN167" s="78">
        <v>5.09</v>
      </c>
      <c r="AO167" s="77">
        <v>-0.60444705882352945</v>
      </c>
      <c r="AP167" s="77"/>
      <c r="AQ167" s="5"/>
      <c r="AR167" s="5">
        <v>44615</v>
      </c>
      <c r="AS167" s="5">
        <v>2.9768333333333334</v>
      </c>
      <c r="AT167" s="78">
        <v>1.0036</v>
      </c>
      <c r="AU167" s="78">
        <v>1.02092</v>
      </c>
      <c r="AV167" s="64">
        <v>1.7489749999999999</v>
      </c>
      <c r="AX167" s="78"/>
      <c r="AY167" s="13">
        <v>44250</v>
      </c>
      <c r="AZ167" s="78" t="e">
        <f t="array" ref="AZ167">INDEX(_xlfn._xlws.FILTER(Table13[],Table13[Days To Maturity]=AZ$3),MATCH($AY167,Table13[Date_d],0),8)</f>
        <v>#REF!</v>
      </c>
      <c r="BA167" s="78" t="e">
        <f t="array" ref="BA167">INDEX(_xlfn._xlws.FILTER(Table13[],Table13[Days To Maturity]=BA$3),MATCH($AY167,Table13[Date_d],0),8)</f>
        <v>#REF!</v>
      </c>
      <c r="BB167" s="78" t="e">
        <f t="array" ref="BB167">INDEX(_xlfn._xlws.FILTER(Table13[],Table13[Days To Maturity]=BB$3),MATCH($AY167,Table13[Date_d],0),8)</f>
        <v>#REF!</v>
      </c>
    </row>
    <row r="168" spans="1:54" x14ac:dyDescent="0.2">
      <c r="A168" s="9">
        <v>43649</v>
      </c>
      <c r="B168" s="10" t="s">
        <v>208</v>
      </c>
      <c r="C168" s="10">
        <v>182</v>
      </c>
      <c r="D168" s="10" t="s">
        <v>20</v>
      </c>
      <c r="E168" s="18">
        <v>3500</v>
      </c>
      <c r="F168" s="18">
        <v>13050</v>
      </c>
      <c r="G168" s="18">
        <v>3500</v>
      </c>
      <c r="H168" s="37">
        <v>8.32</v>
      </c>
      <c r="I168" s="37">
        <v>8.49</v>
      </c>
      <c r="J168" s="32">
        <f t="array" ref="J16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43833</v>
      </c>
      <c r="K168" s="59">
        <f>IFERROR(Table13[[#This Row],[Bid Accepted]]*(Table13[[#This Row],[WAYR Current]]%/364*Table13[[#This Row],[Days To Maturity]]),0)</f>
        <v>145.6</v>
      </c>
      <c r="L168" s="41">
        <f>+Table13[[#This Row],[Bid Accepted]]-Table13[[#This Row],[Amount Offered]]</f>
        <v>0</v>
      </c>
      <c r="M168" s="57">
        <f>+IF(Table13[[#This Row],[WAYR Last]]&gt;0,IF(Table13[[#This Row],[WAYR Current]]&gt;0,(Table13[[#This Row],[WAYR Current]]-Table13[[#This Row],[WAYR Last]]),""),"")</f>
        <v>-0.16999999999999993</v>
      </c>
      <c r="N168" s="5"/>
      <c r="P168" s="67"/>
      <c r="Q168" s="67"/>
      <c r="R168" s="67"/>
      <c r="S168" s="67"/>
      <c r="T168" s="67"/>
      <c r="U168" s="5"/>
      <c r="V168" s="5"/>
      <c r="AG168" s="5"/>
      <c r="AH168" s="13">
        <v>44258</v>
      </c>
      <c r="AI168" s="78">
        <v>45000</v>
      </c>
      <c r="AJ168" s="78">
        <v>113912</v>
      </c>
      <c r="AK168" s="78">
        <v>45000</v>
      </c>
      <c r="AL168" s="78">
        <v>68912</v>
      </c>
      <c r="AM168" s="78">
        <v>0</v>
      </c>
      <c r="AN168" s="78">
        <v>5.0999999999999996</v>
      </c>
      <c r="AO168" s="77">
        <v>0</v>
      </c>
      <c r="AP168" s="77"/>
      <c r="AQ168" s="5"/>
      <c r="AR168" s="5">
        <v>44622</v>
      </c>
      <c r="AS168" s="5">
        <v>1.8513500000000001</v>
      </c>
      <c r="AT168" s="78">
        <v>1.0027999999999999</v>
      </c>
      <c r="AU168" s="78">
        <v>1.0170666666666666</v>
      </c>
      <c r="AV168" s="64">
        <v>1.3152545454545455</v>
      </c>
      <c r="AX168" s="78"/>
      <c r="AY168" s="13">
        <v>44258</v>
      </c>
      <c r="AZ168" s="78" t="e">
        <f t="array" ref="AZ168">INDEX(_xlfn._xlws.FILTER(Table13[],Table13[Days To Maturity]=AZ$3),MATCH($AY168,Table13[Date_d],0),8)</f>
        <v>#REF!</v>
      </c>
      <c r="BA168" s="78" t="e">
        <f t="array" ref="BA168">INDEX(_xlfn._xlws.FILTER(Table13[],Table13[Days To Maturity]=BA$3),MATCH($AY168,Table13[Date_d],0),8)</f>
        <v>#REF!</v>
      </c>
      <c r="BB168" s="78" t="e">
        <f t="array" ref="BB168">INDEX(_xlfn._xlws.FILTER(Table13[],Table13[Days To Maturity]=BB$3),MATCH($AY168,Table13[Date_d],0),8)</f>
        <v>#REF!</v>
      </c>
    </row>
    <row r="169" spans="1:54" x14ac:dyDescent="0.2">
      <c r="A169" s="9">
        <v>43649</v>
      </c>
      <c r="B169" s="10" t="s">
        <v>209</v>
      </c>
      <c r="C169" s="10">
        <v>364</v>
      </c>
      <c r="D169" s="10" t="s">
        <v>20</v>
      </c>
      <c r="E169" s="18">
        <v>12000</v>
      </c>
      <c r="F169" s="18">
        <v>30820</v>
      </c>
      <c r="G169" s="18">
        <v>12000</v>
      </c>
      <c r="H169" s="37">
        <v>8.59</v>
      </c>
      <c r="I169" s="37">
        <v>8.6999999999999993</v>
      </c>
      <c r="J169" s="32">
        <f t="array" ref="J16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44015</v>
      </c>
      <c r="K169" s="59">
        <f>IFERROR(Table13[[#This Row],[Bid Accepted]]*(Table13[[#This Row],[WAYR Current]]%/364*Table13[[#This Row],[Days To Maturity]]),0)</f>
        <v>1030.8</v>
      </c>
      <c r="L169" s="41">
        <f>+Table13[[#This Row],[Bid Accepted]]-Table13[[#This Row],[Amount Offered]]</f>
        <v>0</v>
      </c>
      <c r="M169" s="57">
        <f>+IF(Table13[[#This Row],[WAYR Last]]&gt;0,IF(Table13[[#This Row],[WAYR Current]]&gt;0,(Table13[[#This Row],[WAYR Current]]-Table13[[#This Row],[WAYR Last]]),""),"")</f>
        <v>-0.10999999999999943</v>
      </c>
      <c r="N169" s="5"/>
      <c r="P169" s="67"/>
      <c r="Q169" s="67"/>
      <c r="R169" s="67"/>
      <c r="S169" s="67"/>
      <c r="T169" s="67"/>
      <c r="U169" s="5"/>
      <c r="V169" s="5"/>
      <c r="AG169" s="5"/>
      <c r="AH169" s="13">
        <v>44265</v>
      </c>
      <c r="AI169" s="78">
        <v>45000</v>
      </c>
      <c r="AJ169" s="78">
        <v>69678</v>
      </c>
      <c r="AK169" s="78">
        <v>34735</v>
      </c>
      <c r="AL169" s="78">
        <v>24678</v>
      </c>
      <c r="AM169" s="78">
        <v>-10265</v>
      </c>
      <c r="AN169" s="78">
        <v>5.0999999999999996</v>
      </c>
      <c r="AO169" s="77">
        <v>-0.2281111111111111</v>
      </c>
      <c r="AP169" s="77"/>
      <c r="AQ169" s="5"/>
      <c r="AR169" s="5">
        <v>44629</v>
      </c>
      <c r="AS169" s="5">
        <v>3.9719500000000001</v>
      </c>
      <c r="AT169" s="78">
        <v>1.0125</v>
      </c>
      <c r="AU169" s="78">
        <v>1.0389999999999999</v>
      </c>
      <c r="AV169" s="64">
        <v>2.0078166666666668</v>
      </c>
      <c r="AX169" s="78"/>
      <c r="AY169" s="13">
        <v>44265</v>
      </c>
    </row>
    <row r="170" spans="1:54" x14ac:dyDescent="0.2">
      <c r="A170" s="9">
        <v>43656</v>
      </c>
      <c r="B170" s="10" t="s">
        <v>210</v>
      </c>
      <c r="C170" s="10">
        <v>91</v>
      </c>
      <c r="D170" s="10" t="s">
        <v>20</v>
      </c>
      <c r="E170" s="18">
        <v>3000</v>
      </c>
      <c r="F170" s="18">
        <v>17850</v>
      </c>
      <c r="G170" s="18">
        <v>3000</v>
      </c>
      <c r="H170" s="37">
        <v>8.09</v>
      </c>
      <c r="I170" s="37">
        <v>8.17</v>
      </c>
      <c r="J170" s="32">
        <f t="array" ref="J17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43748</v>
      </c>
      <c r="K170" s="59">
        <f>IFERROR(Table13[[#This Row],[Bid Accepted]]*(Table13[[#This Row],[WAYR Current]]%/364*Table13[[#This Row],[Days To Maturity]]),0)</f>
        <v>60.674999999999997</v>
      </c>
      <c r="L170" s="41">
        <f>+Table13[[#This Row],[Bid Accepted]]-Table13[[#This Row],[Amount Offered]]</f>
        <v>0</v>
      </c>
      <c r="M170" s="57">
        <f>+IF(Table13[[#This Row],[WAYR Last]]&gt;0,IF(Table13[[#This Row],[WAYR Current]]&gt;0,(Table13[[#This Row],[WAYR Current]]-Table13[[#This Row],[WAYR Last]]),""),"")</f>
        <v>-8.0000000000000071E-2</v>
      </c>
      <c r="N170" s="5"/>
      <c r="P170" s="67"/>
      <c r="Q170" s="67"/>
      <c r="R170" s="67"/>
      <c r="S170" s="67"/>
      <c r="T170" s="67"/>
      <c r="U170" s="5"/>
      <c r="V170" s="5"/>
      <c r="AG170" s="5"/>
      <c r="AH170" s="13">
        <v>44272</v>
      </c>
      <c r="AI170" s="78">
        <v>45000</v>
      </c>
      <c r="AJ170" s="78">
        <v>65664</v>
      </c>
      <c r="AK170" s="78">
        <v>25819</v>
      </c>
      <c r="AL170" s="78">
        <v>20664</v>
      </c>
      <c r="AM170" s="78">
        <v>-19181</v>
      </c>
      <c r="AN170" s="78">
        <v>5.1100000000000003</v>
      </c>
      <c r="AO170" s="77">
        <v>-0.42624444444444443</v>
      </c>
      <c r="AP170" s="77"/>
      <c r="AQ170" s="5"/>
      <c r="AR170" s="5">
        <v>44635</v>
      </c>
      <c r="AS170" s="5">
        <v>3.8314499999999998</v>
      </c>
      <c r="AT170" s="78">
        <v>1.0607500000000001</v>
      </c>
      <c r="AU170" s="78">
        <v>1.0674999999999999</v>
      </c>
      <c r="AV170" s="64">
        <v>1.9865666666666666</v>
      </c>
      <c r="AX170" s="78"/>
      <c r="AY170" s="13">
        <v>44272</v>
      </c>
    </row>
    <row r="171" spans="1:54" x14ac:dyDescent="0.2">
      <c r="A171" s="9">
        <v>43656</v>
      </c>
      <c r="B171" s="10" t="s">
        <v>211</v>
      </c>
      <c r="C171" s="10">
        <v>182</v>
      </c>
      <c r="D171" s="10" t="s">
        <v>20</v>
      </c>
      <c r="E171" s="18">
        <v>5000</v>
      </c>
      <c r="F171" s="18">
        <v>20975</v>
      </c>
      <c r="G171" s="18">
        <v>5000</v>
      </c>
      <c r="H171" s="37">
        <v>8.2100000000000009</v>
      </c>
      <c r="I171" s="37">
        <v>8.32</v>
      </c>
      <c r="J171" s="32">
        <f t="array" ref="J17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43840</v>
      </c>
      <c r="K171" s="59">
        <f>IFERROR(Table13[[#This Row],[Bid Accepted]]*(Table13[[#This Row],[WAYR Current]]%/364*Table13[[#This Row],[Days To Maturity]]),0)</f>
        <v>205.25000000000003</v>
      </c>
      <c r="L171" s="41">
        <f>+Table13[[#This Row],[Bid Accepted]]-Table13[[#This Row],[Amount Offered]]</f>
        <v>0</v>
      </c>
      <c r="M171" s="57">
        <f>+IF(Table13[[#This Row],[WAYR Last]]&gt;0,IF(Table13[[#This Row],[WAYR Current]]&gt;0,(Table13[[#This Row],[WAYR Current]]-Table13[[#This Row],[WAYR Last]]),""),"")</f>
        <v>-0.10999999999999943</v>
      </c>
      <c r="N171" s="5"/>
      <c r="P171" s="67"/>
      <c r="Q171" s="67"/>
      <c r="R171" s="67"/>
      <c r="S171" s="67"/>
      <c r="T171" s="67"/>
      <c r="U171" s="5"/>
      <c r="V171" s="5"/>
      <c r="AG171" s="5"/>
      <c r="AH171" s="13">
        <v>44279</v>
      </c>
      <c r="AI171" s="78">
        <v>45000</v>
      </c>
      <c r="AJ171" s="78">
        <v>53626</v>
      </c>
      <c r="AK171" s="78">
        <v>11545</v>
      </c>
      <c r="AL171" s="78">
        <v>8626</v>
      </c>
      <c r="AM171" s="78">
        <v>-33455</v>
      </c>
      <c r="AN171" s="78">
        <v>5.1100000000000003</v>
      </c>
      <c r="AO171" s="77">
        <v>-0.74344444444444446</v>
      </c>
      <c r="AP171" s="77"/>
      <c r="AQ171" s="5"/>
      <c r="AR171" s="5">
        <v>44643</v>
      </c>
      <c r="AS171" s="5">
        <v>3.5554999999999999</v>
      </c>
      <c r="AT171" s="78">
        <v>1.0306666666666666</v>
      </c>
      <c r="AU171" s="78">
        <v>1.056</v>
      </c>
      <c r="AV171" s="64">
        <v>1.9340530973451326</v>
      </c>
      <c r="AX171" s="78"/>
      <c r="AY171" s="13">
        <v>44279</v>
      </c>
    </row>
    <row r="172" spans="1:54" x14ac:dyDescent="0.2">
      <c r="A172" s="9">
        <v>43656</v>
      </c>
      <c r="B172" s="10" t="s">
        <v>212</v>
      </c>
      <c r="C172" s="10">
        <v>364</v>
      </c>
      <c r="D172" s="10" t="s">
        <v>20</v>
      </c>
      <c r="E172" s="18">
        <v>14500</v>
      </c>
      <c r="F172" s="18">
        <v>44050</v>
      </c>
      <c r="G172" s="18">
        <v>14500</v>
      </c>
      <c r="H172" s="37">
        <v>8.5399999999999991</v>
      </c>
      <c r="I172" s="37">
        <v>8.59</v>
      </c>
      <c r="J172" s="32">
        <f t="array" ref="J17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44022</v>
      </c>
      <c r="K172" s="59">
        <f>IFERROR(Table13[[#This Row],[Bid Accepted]]*(Table13[[#This Row],[WAYR Current]]%/364*Table13[[#This Row],[Days To Maturity]]),0)</f>
        <v>1238.3</v>
      </c>
      <c r="L172" s="41">
        <f>+Table13[[#This Row],[Bid Accepted]]-Table13[[#This Row],[Amount Offered]]</f>
        <v>0</v>
      </c>
      <c r="M172" s="57">
        <f>+IF(Table13[[#This Row],[WAYR Last]]&gt;0,IF(Table13[[#This Row],[WAYR Current]]&gt;0,(Table13[[#This Row],[WAYR Current]]-Table13[[#This Row],[WAYR Last]]),""),"")</f>
        <v>-5.0000000000000711E-2</v>
      </c>
      <c r="N172" s="5"/>
      <c r="P172" s="67"/>
      <c r="Q172" s="67"/>
      <c r="R172" s="67"/>
      <c r="S172" s="67"/>
      <c r="T172" s="67"/>
      <c r="U172" s="5"/>
      <c r="V172" s="5"/>
      <c r="AG172" s="5"/>
      <c r="AH172" s="13">
        <v>44285</v>
      </c>
      <c r="AI172" s="78">
        <v>45000</v>
      </c>
      <c r="AJ172" s="78">
        <v>46439</v>
      </c>
      <c r="AK172" s="78">
        <v>10264</v>
      </c>
      <c r="AL172" s="78">
        <v>1439</v>
      </c>
      <c r="AM172" s="78">
        <v>-34736</v>
      </c>
      <c r="AN172" s="78">
        <v>0</v>
      </c>
      <c r="AO172" s="77">
        <v>-0.7719111111111111</v>
      </c>
      <c r="AP172" s="77"/>
      <c r="AQ172" s="5"/>
      <c r="AR172" s="5">
        <v>44650</v>
      </c>
      <c r="AS172" s="5">
        <v>3.3788333333333331</v>
      </c>
      <c r="AT172" s="78">
        <v>1.0041666666666667</v>
      </c>
      <c r="AU172" s="78">
        <v>1.0185</v>
      </c>
      <c r="AV172" s="64">
        <v>1.9000416666666666</v>
      </c>
      <c r="AX172" s="78"/>
      <c r="AY172" s="13">
        <v>44285</v>
      </c>
    </row>
    <row r="173" spans="1:54" x14ac:dyDescent="0.2">
      <c r="A173" s="9">
        <v>43663</v>
      </c>
      <c r="B173" s="10" t="s">
        <v>213</v>
      </c>
      <c r="C173" s="10">
        <v>91</v>
      </c>
      <c r="D173" s="10" t="s">
        <v>20</v>
      </c>
      <c r="E173" s="18">
        <v>3000</v>
      </c>
      <c r="F173" s="18">
        <v>13820</v>
      </c>
      <c r="G173" s="18">
        <v>3000</v>
      </c>
      <c r="H173" s="37">
        <v>7.99</v>
      </c>
      <c r="I173" s="37">
        <v>8.09</v>
      </c>
      <c r="J173" s="32">
        <f t="array" ref="J17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43755</v>
      </c>
      <c r="K173" s="59">
        <f>IFERROR(Table13[[#This Row],[Bid Accepted]]*(Table13[[#This Row],[WAYR Current]]%/364*Table13[[#This Row],[Days To Maturity]]),0)</f>
        <v>59.924999999999997</v>
      </c>
      <c r="L173" s="41">
        <f>+Table13[[#This Row],[Bid Accepted]]-Table13[[#This Row],[Amount Offered]]</f>
        <v>0</v>
      </c>
      <c r="M173" s="57">
        <f>+IF(Table13[[#This Row],[WAYR Last]]&gt;0,IF(Table13[[#This Row],[WAYR Current]]&gt;0,(Table13[[#This Row],[WAYR Current]]-Table13[[#This Row],[WAYR Last]]),""),"")</f>
        <v>-9.9999999999999645E-2</v>
      </c>
      <c r="N173" s="5"/>
      <c r="P173" s="67"/>
      <c r="Q173" s="67"/>
      <c r="R173" s="67"/>
      <c r="S173" s="67"/>
      <c r="T173" s="67"/>
      <c r="U173" s="5"/>
      <c r="V173" s="5"/>
      <c r="AG173" s="5"/>
      <c r="AH173" s="13">
        <v>44293</v>
      </c>
      <c r="AI173" s="78">
        <v>45000</v>
      </c>
      <c r="AJ173" s="78">
        <v>60744</v>
      </c>
      <c r="AK173" s="78">
        <v>18904</v>
      </c>
      <c r="AL173" s="78">
        <v>15744</v>
      </c>
      <c r="AM173" s="78">
        <v>-26096</v>
      </c>
      <c r="AN173" s="78">
        <v>5.15</v>
      </c>
      <c r="AO173" s="77">
        <v>-0.57991111111111115</v>
      </c>
      <c r="AP173" s="77"/>
      <c r="AQ173" s="5"/>
      <c r="AR173" s="5">
        <v>44657</v>
      </c>
      <c r="AS173" s="5">
        <v>1.9116500000000001</v>
      </c>
      <c r="AT173" s="78">
        <v>1.0065999999999999</v>
      </c>
      <c r="AU173" s="78">
        <v>1.0083500000000001</v>
      </c>
      <c r="AV173" s="64">
        <v>1.4595625000000001</v>
      </c>
      <c r="AX173" s="78"/>
      <c r="AY173" s="13">
        <v>44293</v>
      </c>
    </row>
    <row r="174" spans="1:54" x14ac:dyDescent="0.2">
      <c r="A174" s="9">
        <v>43663</v>
      </c>
      <c r="B174" s="10" t="s">
        <v>214</v>
      </c>
      <c r="C174" s="10">
        <v>182</v>
      </c>
      <c r="D174" s="10" t="s">
        <v>20</v>
      </c>
      <c r="E174" s="18">
        <v>4000</v>
      </c>
      <c r="F174" s="18">
        <v>17475</v>
      </c>
      <c r="G174" s="18">
        <v>4000</v>
      </c>
      <c r="H174" s="37">
        <v>8.09</v>
      </c>
      <c r="I174" s="37">
        <v>8.2100000000000009</v>
      </c>
      <c r="J174" s="32">
        <f t="array" ref="J17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43847</v>
      </c>
      <c r="K174" s="59">
        <f>IFERROR(Table13[[#This Row],[Bid Accepted]]*(Table13[[#This Row],[WAYR Current]]%/364*Table13[[#This Row],[Days To Maturity]]),0)</f>
        <v>161.80000000000001</v>
      </c>
      <c r="L174" s="41">
        <f>+Table13[[#This Row],[Bid Accepted]]-Table13[[#This Row],[Amount Offered]]</f>
        <v>0</v>
      </c>
      <c r="M174" s="57">
        <f>+IF(Table13[[#This Row],[WAYR Last]]&gt;0,IF(Table13[[#This Row],[WAYR Current]]&gt;0,(Table13[[#This Row],[WAYR Current]]-Table13[[#This Row],[WAYR Last]]),""),"")</f>
        <v>-0.12000000000000099</v>
      </c>
      <c r="N174" s="5"/>
      <c r="P174" s="67"/>
      <c r="Q174" s="67"/>
      <c r="R174" s="67"/>
      <c r="S174" s="67"/>
      <c r="T174" s="67"/>
      <c r="U174" s="5"/>
      <c r="V174" s="5"/>
      <c r="AG174" s="5"/>
      <c r="AH174" s="13">
        <v>44298</v>
      </c>
      <c r="AI174" s="78">
        <v>45000</v>
      </c>
      <c r="AJ174" s="78">
        <v>76018</v>
      </c>
      <c r="AK174" s="78">
        <v>35468</v>
      </c>
      <c r="AL174" s="78">
        <v>31018</v>
      </c>
      <c r="AM174" s="78">
        <v>-9532</v>
      </c>
      <c r="AN174" s="78">
        <v>5.15</v>
      </c>
      <c r="AO174" s="77">
        <v>-0.21182222222222222</v>
      </c>
      <c r="AP174" s="77"/>
      <c r="AQ174" s="5"/>
      <c r="AR174" s="5">
        <v>44662</v>
      </c>
      <c r="AS174" s="5">
        <v>1.5857428571428571</v>
      </c>
      <c r="AT174" s="78">
        <v>1.0188363636363635</v>
      </c>
      <c r="AU174" s="78">
        <v>1.00892</v>
      </c>
      <c r="AV174" s="64">
        <v>1.2427657142857143</v>
      </c>
      <c r="AX174" s="78"/>
      <c r="AY174" s="13">
        <v>44298</v>
      </c>
    </row>
    <row r="175" spans="1:54" x14ac:dyDescent="0.2">
      <c r="A175" s="9">
        <v>43663</v>
      </c>
      <c r="B175" s="10" t="s">
        <v>215</v>
      </c>
      <c r="C175" s="10">
        <v>364</v>
      </c>
      <c r="D175" s="10" t="s">
        <v>20</v>
      </c>
      <c r="E175" s="18">
        <v>16500</v>
      </c>
      <c r="F175" s="18">
        <v>40900</v>
      </c>
      <c r="G175" s="18">
        <v>16500</v>
      </c>
      <c r="H175" s="37">
        <v>8.4600000000000009</v>
      </c>
      <c r="I175" s="37">
        <v>8.5399999999999991</v>
      </c>
      <c r="J175" s="32">
        <f t="array" ref="J17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44029</v>
      </c>
      <c r="K175" s="59">
        <f>IFERROR(Table13[[#This Row],[Bid Accepted]]*(Table13[[#This Row],[WAYR Current]]%/364*Table13[[#This Row],[Days To Maturity]]),0)</f>
        <v>1395.9</v>
      </c>
      <c r="L175" s="41">
        <f>+Table13[[#This Row],[Bid Accepted]]-Table13[[#This Row],[Amount Offered]]</f>
        <v>0</v>
      </c>
      <c r="M175" s="57">
        <f>+IF(Table13[[#This Row],[WAYR Last]]&gt;0,IF(Table13[[#This Row],[WAYR Current]]&gt;0,(Table13[[#This Row],[WAYR Current]]-Table13[[#This Row],[WAYR Last]]),""),"")</f>
        <v>-7.9999999999998295E-2</v>
      </c>
      <c r="N175" s="5"/>
      <c r="P175" s="67"/>
      <c r="Q175" s="67"/>
      <c r="R175" s="67"/>
      <c r="S175" s="67"/>
      <c r="T175" s="67"/>
      <c r="U175" s="5"/>
      <c r="V175" s="5"/>
      <c r="AG175" s="5"/>
      <c r="AH175" s="13">
        <v>44307</v>
      </c>
      <c r="AI175" s="78">
        <v>45000</v>
      </c>
      <c r="AJ175" s="78">
        <v>86061</v>
      </c>
      <c r="AK175" s="78">
        <v>36566</v>
      </c>
      <c r="AL175" s="78">
        <v>41061</v>
      </c>
      <c r="AM175" s="78">
        <v>-8434</v>
      </c>
      <c r="AN175" s="78">
        <v>5.18</v>
      </c>
      <c r="AO175" s="77">
        <v>-0.18742222222222221</v>
      </c>
      <c r="AP175" s="77"/>
      <c r="AQ175" s="5"/>
      <c r="AR175" s="5">
        <v>44671</v>
      </c>
      <c r="AS175" s="5">
        <v>2.1379368421052631</v>
      </c>
      <c r="AT175" s="78">
        <v>1.0469818181818182</v>
      </c>
      <c r="AU175" s="78">
        <v>1.4122666666666666</v>
      </c>
      <c r="AV175" s="64">
        <v>1.6627692307692308</v>
      </c>
      <c r="AX175" s="78"/>
      <c r="AY175" s="13">
        <v>44307</v>
      </c>
    </row>
    <row r="176" spans="1:54" x14ac:dyDescent="0.2">
      <c r="A176" s="9">
        <v>43670</v>
      </c>
      <c r="B176" s="10" t="s">
        <v>216</v>
      </c>
      <c r="C176" s="10">
        <v>91</v>
      </c>
      <c r="D176" s="10" t="s">
        <v>20</v>
      </c>
      <c r="E176" s="18">
        <v>3000</v>
      </c>
      <c r="F176" s="18">
        <v>13805</v>
      </c>
      <c r="G176" s="18">
        <v>3000</v>
      </c>
      <c r="H176" s="37">
        <v>7.89</v>
      </c>
      <c r="I176" s="37">
        <v>7.99</v>
      </c>
      <c r="J176" s="32">
        <f t="array" ref="J17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43762</v>
      </c>
      <c r="K176" s="59">
        <f>IFERROR(Table13[[#This Row],[Bid Accepted]]*(Table13[[#This Row],[WAYR Current]]%/364*Table13[[#This Row],[Days To Maturity]]),0)</f>
        <v>59.174999999999997</v>
      </c>
      <c r="L176" s="41">
        <f>+Table13[[#This Row],[Bid Accepted]]-Table13[[#This Row],[Amount Offered]]</f>
        <v>0</v>
      </c>
      <c r="M176" s="57">
        <f>+IF(Table13[[#This Row],[WAYR Last]]&gt;0,IF(Table13[[#This Row],[WAYR Current]]&gt;0,(Table13[[#This Row],[WAYR Current]]-Table13[[#This Row],[WAYR Last]]),""),"")</f>
        <v>-0.10000000000000053</v>
      </c>
      <c r="N176" s="5"/>
      <c r="P176" s="67"/>
      <c r="Q176" s="67"/>
      <c r="R176" s="67"/>
      <c r="S176" s="67"/>
      <c r="T176" s="67"/>
      <c r="U176" s="5"/>
      <c r="V176" s="5"/>
      <c r="AG176" s="5"/>
      <c r="AH176" s="13">
        <v>44314</v>
      </c>
      <c r="AI176" s="78">
        <v>45000</v>
      </c>
      <c r="AJ176" s="78">
        <v>64399</v>
      </c>
      <c r="AK176" s="78">
        <v>29894</v>
      </c>
      <c r="AL176" s="78">
        <v>19399</v>
      </c>
      <c r="AM176" s="78">
        <v>-15106</v>
      </c>
      <c r="AN176" s="78">
        <v>5.18</v>
      </c>
      <c r="AO176" s="77">
        <v>-0.33568888888888887</v>
      </c>
      <c r="AP176" s="77"/>
      <c r="AQ176" s="5"/>
      <c r="AR176" s="5">
        <v>44678</v>
      </c>
      <c r="AS176" s="5">
        <v>2.5585647058823531</v>
      </c>
      <c r="AT176" s="78">
        <v>1.3408571428571427</v>
      </c>
      <c r="AU176" s="78">
        <v>1.6747317073170731</v>
      </c>
      <c r="AV176" s="64">
        <v>2.0105371428571428</v>
      </c>
      <c r="AX176" s="78"/>
      <c r="AY176" s="13">
        <v>44314</v>
      </c>
    </row>
    <row r="177" spans="1:51" x14ac:dyDescent="0.2">
      <c r="A177" s="9">
        <v>43670</v>
      </c>
      <c r="B177" s="10" t="s">
        <v>217</v>
      </c>
      <c r="C177" s="10">
        <v>182</v>
      </c>
      <c r="D177" s="10" t="s">
        <v>20</v>
      </c>
      <c r="E177" s="18">
        <v>4000</v>
      </c>
      <c r="F177" s="18">
        <v>16952</v>
      </c>
      <c r="G177" s="18">
        <v>4000</v>
      </c>
      <c r="H177" s="37">
        <v>7.96</v>
      </c>
      <c r="I177" s="37">
        <v>8.09</v>
      </c>
      <c r="J177" s="32">
        <f t="array" ref="J17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43854</v>
      </c>
      <c r="K177" s="59">
        <f>IFERROR(Table13[[#This Row],[Bid Accepted]]*(Table13[[#This Row],[WAYR Current]]%/364*Table13[[#This Row],[Days To Maturity]]),0)</f>
        <v>159.20000000000002</v>
      </c>
      <c r="L177" s="41">
        <f>+Table13[[#This Row],[Bid Accepted]]-Table13[[#This Row],[Amount Offered]]</f>
        <v>0</v>
      </c>
      <c r="M177" s="57">
        <f>+IF(Table13[[#This Row],[WAYR Last]]&gt;0,IF(Table13[[#This Row],[WAYR Current]]&gt;0,(Table13[[#This Row],[WAYR Current]]-Table13[[#This Row],[WAYR Last]]),""),"")</f>
        <v>-0.12999999999999989</v>
      </c>
      <c r="N177" s="5"/>
      <c r="P177" s="67"/>
      <c r="Q177" s="67"/>
      <c r="R177" s="67"/>
      <c r="S177" s="67"/>
      <c r="T177" s="67"/>
      <c r="U177" s="5"/>
      <c r="V177" s="5"/>
      <c r="AG177" s="5"/>
      <c r="AH177" s="13">
        <v>44321</v>
      </c>
      <c r="AI177" s="78">
        <v>45000</v>
      </c>
      <c r="AJ177" s="78">
        <v>72830</v>
      </c>
      <c r="AK177" s="78">
        <v>34910</v>
      </c>
      <c r="AL177" s="78">
        <v>27830</v>
      </c>
      <c r="AM177" s="78">
        <v>-10090</v>
      </c>
      <c r="AN177" s="78">
        <v>5.18</v>
      </c>
      <c r="AO177" s="77">
        <v>-0.22422222222222221</v>
      </c>
      <c r="AP177" s="77"/>
      <c r="AQ177" s="5"/>
      <c r="AR177" s="5">
        <v>44685</v>
      </c>
      <c r="AS177" s="5">
        <v>2.7843</v>
      </c>
      <c r="AT177" s="78">
        <v>1.1182666666666667</v>
      </c>
      <c r="AU177" s="78">
        <v>1.6096363636363635</v>
      </c>
      <c r="AV177" s="64">
        <v>1.9403589743589744</v>
      </c>
      <c r="AX177" s="78"/>
      <c r="AY177" s="13">
        <v>44321</v>
      </c>
    </row>
    <row r="178" spans="1:51" x14ac:dyDescent="0.2">
      <c r="A178" s="9">
        <v>43670</v>
      </c>
      <c r="B178" s="10" t="s">
        <v>218</v>
      </c>
      <c r="C178" s="10">
        <v>364</v>
      </c>
      <c r="D178" s="10" t="s">
        <v>20</v>
      </c>
      <c r="E178" s="18">
        <v>18000</v>
      </c>
      <c r="F178" s="18">
        <v>47378</v>
      </c>
      <c r="G178" s="18">
        <v>18000</v>
      </c>
      <c r="H178" s="37">
        <v>8.3800000000000008</v>
      </c>
      <c r="I178" s="37">
        <v>8.4600000000000009</v>
      </c>
      <c r="J178" s="32">
        <f t="array" ref="J17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44036</v>
      </c>
      <c r="K178" s="59">
        <f>IFERROR(Table13[[#This Row],[Bid Accepted]]*(Table13[[#This Row],[WAYR Current]]%/364*Table13[[#This Row],[Days To Maturity]]),0)</f>
        <v>1508.4000000000003</v>
      </c>
      <c r="L178" s="41">
        <f>+Table13[[#This Row],[Bid Accepted]]-Table13[[#This Row],[Amount Offered]]</f>
        <v>0</v>
      </c>
      <c r="M178" s="57">
        <f>+IF(Table13[[#This Row],[WAYR Last]]&gt;0,IF(Table13[[#This Row],[WAYR Current]]&gt;0,(Table13[[#This Row],[WAYR Current]]-Table13[[#This Row],[WAYR Last]]),""),"")</f>
        <v>-8.0000000000000071E-2</v>
      </c>
      <c r="N178" s="5"/>
      <c r="P178" s="67"/>
      <c r="Q178" s="67"/>
      <c r="R178" s="67"/>
      <c r="S178" s="67"/>
      <c r="T178" s="67"/>
      <c r="U178" s="5"/>
      <c r="V178" s="5"/>
      <c r="AG178" s="5"/>
      <c r="AH178" s="13">
        <v>44327</v>
      </c>
      <c r="AI178" s="78">
        <v>47000</v>
      </c>
      <c r="AJ178" s="78">
        <v>63072</v>
      </c>
      <c r="AK178" s="78">
        <v>21007</v>
      </c>
      <c r="AL178" s="78">
        <v>16072</v>
      </c>
      <c r="AM178" s="78">
        <v>-25993</v>
      </c>
      <c r="AN178" s="78">
        <v>5.18</v>
      </c>
      <c r="AO178" s="77">
        <v>-0.55304255319148932</v>
      </c>
      <c r="AP178" s="77"/>
      <c r="AQ178" s="5"/>
      <c r="AR178" s="5">
        <v>44692</v>
      </c>
      <c r="AS178" s="5">
        <v>1.9633763440860215</v>
      </c>
      <c r="AT178" s="78">
        <v>1.1186956521739131</v>
      </c>
      <c r="AU178" s="78">
        <v>1.4997826086956523</v>
      </c>
      <c r="AV178" s="64">
        <v>1.6380756756756756</v>
      </c>
      <c r="AX178" s="78"/>
      <c r="AY178" s="13">
        <v>44327</v>
      </c>
    </row>
    <row r="179" spans="1:51" x14ac:dyDescent="0.2">
      <c r="A179" s="9">
        <v>43677</v>
      </c>
      <c r="B179" s="10" t="s">
        <v>219</v>
      </c>
      <c r="C179" s="10">
        <v>91</v>
      </c>
      <c r="D179" s="10" t="s">
        <v>20</v>
      </c>
      <c r="E179" s="18">
        <v>6500</v>
      </c>
      <c r="F179" s="18">
        <v>12896</v>
      </c>
      <c r="G179" s="18">
        <v>6500</v>
      </c>
      <c r="H179" s="37">
        <v>7.85</v>
      </c>
      <c r="I179" s="37">
        <v>7.89</v>
      </c>
      <c r="J179" s="12">
        <f t="array" ref="J17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43769</v>
      </c>
      <c r="K179" s="59">
        <f>IFERROR(Table13[[#This Row],[Bid Accepted]]*(Table13[[#This Row],[WAYR Current]]%/364*Table13[[#This Row],[Days To Maturity]]),0)</f>
        <v>127.5625</v>
      </c>
      <c r="L179" s="41">
        <f>+Table13[[#This Row],[Bid Accepted]]-Table13[[#This Row],[Amount Offered]]</f>
        <v>0</v>
      </c>
      <c r="M179" s="57">
        <f>+IF(Table13[[#This Row],[WAYR Last]]&gt;0,IF(Table13[[#This Row],[WAYR Current]]&gt;0,(Table13[[#This Row],[WAYR Current]]-Table13[[#This Row],[WAYR Last]]),""),"")</f>
        <v>-4.0000000000000036E-2</v>
      </c>
      <c r="N179" s="5"/>
      <c r="P179" s="67"/>
      <c r="Q179" s="67"/>
      <c r="R179" s="67"/>
      <c r="S179" s="67"/>
      <c r="T179" s="67"/>
      <c r="U179" s="5"/>
      <c r="V179" s="5"/>
      <c r="AG179" s="5"/>
      <c r="AH179" s="13">
        <v>44335</v>
      </c>
      <c r="AI179" s="78">
        <v>47000</v>
      </c>
      <c r="AJ179" s="78">
        <v>79553</v>
      </c>
      <c r="AK179" s="78">
        <v>42433</v>
      </c>
      <c r="AL179" s="78">
        <v>32553</v>
      </c>
      <c r="AM179" s="78">
        <v>-4567</v>
      </c>
      <c r="AN179" s="78">
        <v>5.18</v>
      </c>
      <c r="AO179" s="77">
        <v>-9.7170212765957442E-2</v>
      </c>
      <c r="AP179" s="77"/>
      <c r="AQ179" s="5"/>
      <c r="AR179" s="5">
        <v>44699</v>
      </c>
      <c r="AS179" s="5">
        <v>1.7092400000000001</v>
      </c>
      <c r="AT179" s="78">
        <v>1.0497000000000001</v>
      </c>
      <c r="AU179" s="78">
        <v>1.4377</v>
      </c>
      <c r="AV179" s="64">
        <v>1.5023333333333333</v>
      </c>
      <c r="AX179" s="78"/>
      <c r="AY179" s="13">
        <v>44335</v>
      </c>
    </row>
    <row r="180" spans="1:51" x14ac:dyDescent="0.2">
      <c r="A180" s="9">
        <v>43677</v>
      </c>
      <c r="B180" s="10" t="s">
        <v>220</v>
      </c>
      <c r="C180" s="10">
        <v>182</v>
      </c>
      <c r="D180" s="10" t="s">
        <v>20</v>
      </c>
      <c r="E180" s="18">
        <v>2500</v>
      </c>
      <c r="F180" s="18">
        <v>4616</v>
      </c>
      <c r="G180" s="18">
        <v>1166</v>
      </c>
      <c r="H180" s="37">
        <v>7.94</v>
      </c>
      <c r="I180" s="37">
        <v>7.96</v>
      </c>
      <c r="J180" s="12">
        <f t="array" ref="J18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43861</v>
      </c>
      <c r="K180" s="59">
        <f>IFERROR(Table13[[#This Row],[Bid Accepted]]*(Table13[[#This Row],[WAYR Current]]%/364*Table13[[#This Row],[Days To Maturity]]),0)</f>
        <v>46.290199999999999</v>
      </c>
      <c r="L180" s="41">
        <f>+Table13[[#This Row],[Bid Accepted]]-Table13[[#This Row],[Amount Offered]]</f>
        <v>-1334</v>
      </c>
      <c r="M180" s="57">
        <f>+IF(Table13[[#This Row],[WAYR Last]]&gt;0,IF(Table13[[#This Row],[WAYR Current]]&gt;0,(Table13[[#This Row],[WAYR Current]]-Table13[[#This Row],[WAYR Last]]),""),"")</f>
        <v>-1.9999999999999574E-2</v>
      </c>
      <c r="N180" s="5"/>
      <c r="P180" s="67"/>
      <c r="Q180" s="67"/>
      <c r="R180" s="67"/>
      <c r="S180" s="67"/>
      <c r="T180" s="67"/>
      <c r="U180" s="5"/>
      <c r="V180" s="5"/>
      <c r="AG180" s="5"/>
      <c r="AH180" s="13">
        <v>44340</v>
      </c>
      <c r="AI180" s="78">
        <v>39000</v>
      </c>
      <c r="AJ180" s="78">
        <v>68622</v>
      </c>
      <c r="AK180" s="78">
        <v>37587</v>
      </c>
      <c r="AL180" s="78">
        <v>29622</v>
      </c>
      <c r="AM180" s="78">
        <v>-1413</v>
      </c>
      <c r="AN180" s="78">
        <v>5.18</v>
      </c>
      <c r="AO180" s="77">
        <v>-3.6230769230769233E-2</v>
      </c>
      <c r="AP180" s="77"/>
      <c r="AQ180" s="5"/>
      <c r="AR180" s="5">
        <v>44706</v>
      </c>
      <c r="AS180" s="5">
        <v>3.0708666666666669</v>
      </c>
      <c r="AT180" s="78">
        <v>1.2706666666666666</v>
      </c>
      <c r="AU180" s="78">
        <v>2.061377777777778</v>
      </c>
      <c r="AV180" s="64">
        <v>2.3684444444444446</v>
      </c>
      <c r="AX180" s="78"/>
      <c r="AY180" s="13">
        <v>44340</v>
      </c>
    </row>
    <row r="181" spans="1:51" x14ac:dyDescent="0.2">
      <c r="A181" s="9">
        <v>43677</v>
      </c>
      <c r="B181" s="10" t="s">
        <v>221</v>
      </c>
      <c r="C181" s="10">
        <v>364</v>
      </c>
      <c r="D181" s="10" t="s">
        <v>20</v>
      </c>
      <c r="E181" s="18">
        <v>13000</v>
      </c>
      <c r="F181" s="18">
        <v>42716</v>
      </c>
      <c r="G181" s="18">
        <v>14334</v>
      </c>
      <c r="H181" s="37">
        <v>8.2100000000000009</v>
      </c>
      <c r="I181" s="37">
        <v>8.3800000000000008</v>
      </c>
      <c r="J181" s="12">
        <f t="array" ref="J18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44043</v>
      </c>
      <c r="K181" s="59">
        <f>IFERROR(Table13[[#This Row],[Bid Accepted]]*(Table13[[#This Row],[WAYR Current]]%/364*Table13[[#This Row],[Days To Maturity]]),0)</f>
        <v>1176.8214</v>
      </c>
      <c r="L181" s="41">
        <f>+Table13[[#This Row],[Bid Accepted]]-Table13[[#This Row],[Amount Offered]]</f>
        <v>1334</v>
      </c>
      <c r="M181" s="57">
        <f>+IF(Table13[[#This Row],[WAYR Last]]&gt;0,IF(Table13[[#This Row],[WAYR Current]]&gt;0,(Table13[[#This Row],[WAYR Current]]-Table13[[#This Row],[WAYR Last]]),""),"")</f>
        <v>-0.16999999999999993</v>
      </c>
      <c r="N181" s="5"/>
      <c r="P181" s="67"/>
      <c r="Q181" s="67"/>
      <c r="R181" s="67"/>
      <c r="S181" s="67"/>
      <c r="T181" s="67"/>
      <c r="U181" s="5"/>
      <c r="V181" s="5"/>
      <c r="AG181" s="5"/>
      <c r="AH181" s="13">
        <v>44356</v>
      </c>
      <c r="AI181" s="78">
        <v>51000</v>
      </c>
      <c r="AJ181" s="78">
        <v>72395</v>
      </c>
      <c r="AK181" s="78">
        <v>31572</v>
      </c>
      <c r="AL181" s="78">
        <v>21395</v>
      </c>
      <c r="AM181" s="78">
        <v>-19428</v>
      </c>
      <c r="AN181" s="78">
        <v>5.21</v>
      </c>
      <c r="AO181" s="77">
        <v>-0.38094117647058823</v>
      </c>
      <c r="AP181" s="77"/>
      <c r="AQ181" s="5"/>
      <c r="AR181" s="5">
        <v>44713</v>
      </c>
      <c r="AS181" s="5">
        <v>2.9238499999999998</v>
      </c>
      <c r="AT181" s="78">
        <v>2.253304347826087</v>
      </c>
      <c r="AU181" s="78">
        <v>3.74655</v>
      </c>
      <c r="AV181" s="64">
        <v>2.9362771084337349</v>
      </c>
      <c r="AX181" s="78"/>
      <c r="AY181" s="13">
        <v>44356</v>
      </c>
    </row>
    <row r="182" spans="1:51" x14ac:dyDescent="0.2">
      <c r="A182" s="9">
        <v>43684</v>
      </c>
      <c r="B182" s="10" t="s">
        <v>222</v>
      </c>
      <c r="C182" s="10">
        <v>91</v>
      </c>
      <c r="D182" s="10" t="s">
        <v>20</v>
      </c>
      <c r="E182" s="18">
        <v>2500</v>
      </c>
      <c r="F182" s="18">
        <v>6700</v>
      </c>
      <c r="G182" s="18">
        <v>2500</v>
      </c>
      <c r="H182" s="37">
        <v>7.75</v>
      </c>
      <c r="I182" s="37">
        <v>7.85</v>
      </c>
      <c r="J182" s="12">
        <f t="array" ref="J18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43776</v>
      </c>
      <c r="K182" s="59">
        <f>IFERROR(Table13[[#This Row],[Bid Accepted]]*(Table13[[#This Row],[WAYR Current]]%/364*Table13[[#This Row],[Days To Maturity]]),0)</f>
        <v>48.4375</v>
      </c>
      <c r="L182" s="41">
        <f>+Table13[[#This Row],[Bid Accepted]]-Table13[[#This Row],[Amount Offered]]</f>
        <v>0</v>
      </c>
      <c r="M182" s="57">
        <f>+IF(Table13[[#This Row],[WAYR Last]]&gt;0,IF(Table13[[#This Row],[WAYR Current]]&gt;0,(Table13[[#This Row],[WAYR Current]]-Table13[[#This Row],[WAYR Last]]),""),"")</f>
        <v>-9.9999999999999645E-2</v>
      </c>
      <c r="N182" s="5"/>
      <c r="P182" s="67"/>
      <c r="Q182" s="67"/>
      <c r="R182" s="67"/>
      <c r="S182" s="67"/>
      <c r="T182" s="67"/>
      <c r="U182" s="5"/>
      <c r="V182" s="5"/>
      <c r="AG182" s="5"/>
      <c r="AH182" s="13">
        <v>44363</v>
      </c>
      <c r="AI182" s="78">
        <v>50000</v>
      </c>
      <c r="AJ182" s="78">
        <v>64299</v>
      </c>
      <c r="AK182" s="78">
        <v>19879</v>
      </c>
      <c r="AL182" s="78">
        <v>14299</v>
      </c>
      <c r="AM182" s="78">
        <v>-30121</v>
      </c>
      <c r="AN182" s="78">
        <v>5.21</v>
      </c>
      <c r="AO182" s="77">
        <v>-0.60241999999999996</v>
      </c>
      <c r="AP182" s="77"/>
      <c r="AQ182" s="5"/>
      <c r="AR182" s="5">
        <v>44720</v>
      </c>
      <c r="AS182" s="5">
        <v>3.2299000000000002</v>
      </c>
      <c r="AT182" s="78">
        <v>1.4839666666666667</v>
      </c>
      <c r="AU182" s="78">
        <v>3.1017857142857141</v>
      </c>
      <c r="AV182" s="64">
        <v>2.6588265306122447</v>
      </c>
      <c r="AX182" s="78"/>
      <c r="AY182" s="13">
        <v>44363</v>
      </c>
    </row>
    <row r="183" spans="1:51" x14ac:dyDescent="0.2">
      <c r="A183" s="9">
        <v>43684</v>
      </c>
      <c r="B183" s="10" t="s">
        <v>223</v>
      </c>
      <c r="C183" s="10">
        <v>182</v>
      </c>
      <c r="D183" s="10" t="s">
        <v>20</v>
      </c>
      <c r="E183" s="18">
        <v>1500</v>
      </c>
      <c r="F183" s="18">
        <v>4087</v>
      </c>
      <c r="G183" s="18">
        <v>1500</v>
      </c>
      <c r="H183" s="37">
        <v>7.85</v>
      </c>
      <c r="I183" s="37">
        <v>7.94</v>
      </c>
      <c r="J183" s="12">
        <f t="array" ref="J18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43868</v>
      </c>
      <c r="K183" s="59">
        <f>IFERROR(Table13[[#This Row],[Bid Accepted]]*(Table13[[#This Row],[WAYR Current]]%/364*Table13[[#This Row],[Days To Maturity]]),0)</f>
        <v>58.875</v>
      </c>
      <c r="L183" s="41">
        <f>+Table13[[#This Row],[Bid Accepted]]-Table13[[#This Row],[Amount Offered]]</f>
        <v>0</v>
      </c>
      <c r="M183" s="57">
        <f>+IF(Table13[[#This Row],[WAYR Last]]&gt;0,IF(Table13[[#This Row],[WAYR Current]]&gt;0,(Table13[[#This Row],[WAYR Current]]-Table13[[#This Row],[WAYR Last]]),""),"")</f>
        <v>-9.0000000000000746E-2</v>
      </c>
      <c r="N183" s="5"/>
      <c r="P183" s="67"/>
      <c r="Q183" s="67"/>
      <c r="R183" s="67"/>
      <c r="S183" s="67"/>
      <c r="T183" s="67"/>
      <c r="U183" s="5"/>
      <c r="V183" s="5"/>
      <c r="AG183" s="5"/>
      <c r="AH183" s="13">
        <v>44369</v>
      </c>
      <c r="AI183" s="78">
        <v>45000</v>
      </c>
      <c r="AJ183" s="78">
        <v>61980</v>
      </c>
      <c r="AK183" s="78">
        <v>19025</v>
      </c>
      <c r="AL183" s="78">
        <v>16980</v>
      </c>
      <c r="AM183" s="78">
        <v>-25975</v>
      </c>
      <c r="AN183" s="78">
        <v>5.21</v>
      </c>
      <c r="AO183" s="77">
        <v>-0.57722222222222219</v>
      </c>
      <c r="AP183" s="77"/>
      <c r="AQ183" s="5"/>
      <c r="AR183" s="5">
        <v>44727</v>
      </c>
      <c r="AS183" s="5">
        <v>2.4246222222222222</v>
      </c>
      <c r="AT183" s="78">
        <v>1.7585599999999999</v>
      </c>
      <c r="AU183" s="78">
        <v>1.7553571428571428</v>
      </c>
      <c r="AV183" s="64">
        <v>2.0634897959183673</v>
      </c>
      <c r="AX183" s="78"/>
      <c r="AY183" s="13">
        <v>44369</v>
      </c>
    </row>
    <row r="184" spans="1:51" x14ac:dyDescent="0.2">
      <c r="A184" s="9">
        <v>43684</v>
      </c>
      <c r="B184" s="10" t="s">
        <v>224</v>
      </c>
      <c r="C184" s="10">
        <v>364</v>
      </c>
      <c r="D184" s="10" t="s">
        <v>20</v>
      </c>
      <c r="E184" s="18">
        <v>14500</v>
      </c>
      <c r="F184" s="18">
        <v>29310</v>
      </c>
      <c r="G184" s="18">
        <v>14500</v>
      </c>
      <c r="H184" s="37">
        <v>8.11</v>
      </c>
      <c r="I184" s="37">
        <v>8.2100000000000009</v>
      </c>
      <c r="J184" s="12">
        <f t="array" ref="J18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44050</v>
      </c>
      <c r="K184" s="59">
        <f>IFERROR(Table13[[#This Row],[Bid Accepted]]*(Table13[[#This Row],[WAYR Current]]%/364*Table13[[#This Row],[Days To Maturity]]),0)</f>
        <v>1175.9499999999998</v>
      </c>
      <c r="L184" s="41">
        <f>+Table13[[#This Row],[Bid Accepted]]-Table13[[#This Row],[Amount Offered]]</f>
        <v>0</v>
      </c>
      <c r="M184" s="57">
        <f>+IF(Table13[[#This Row],[WAYR Last]]&gt;0,IF(Table13[[#This Row],[WAYR Current]]&gt;0,(Table13[[#This Row],[WAYR Current]]-Table13[[#This Row],[WAYR Last]]),""),"")</f>
        <v>-0.10000000000000142</v>
      </c>
      <c r="N184" s="5"/>
      <c r="P184" s="67"/>
      <c r="Q184" s="67"/>
      <c r="R184" s="67"/>
      <c r="S184" s="67"/>
      <c r="T184" s="67"/>
      <c r="U184" s="5"/>
      <c r="V184" s="5"/>
      <c r="AG184" s="5"/>
      <c r="AH184" s="13">
        <v>44377</v>
      </c>
      <c r="AI184" s="78">
        <v>37000</v>
      </c>
      <c r="AJ184" s="78">
        <v>61220</v>
      </c>
      <c r="AK184" s="78">
        <v>29895</v>
      </c>
      <c r="AL184" s="78">
        <v>24220</v>
      </c>
      <c r="AM184" s="78">
        <v>-7105</v>
      </c>
      <c r="AN184" s="78">
        <v>5.23</v>
      </c>
      <c r="AO184" s="77">
        <v>-0.19202702702702704</v>
      </c>
      <c r="AP184" s="77"/>
      <c r="AQ184" s="5"/>
      <c r="AR184" s="5">
        <v>44734</v>
      </c>
      <c r="AS184" s="5">
        <v>1.5260499999999999</v>
      </c>
      <c r="AT184" s="78">
        <v>1.208</v>
      </c>
      <c r="AU184" s="78">
        <v>1.3807142857142858</v>
      </c>
      <c r="AV184" s="64">
        <v>1.3967956989247312</v>
      </c>
      <c r="AX184" s="78"/>
      <c r="AY184" s="13">
        <v>44377</v>
      </c>
    </row>
    <row r="185" spans="1:51" x14ac:dyDescent="0.2">
      <c r="A185" s="9">
        <v>43690</v>
      </c>
      <c r="B185" s="10" t="s">
        <v>225</v>
      </c>
      <c r="C185" s="10">
        <v>91</v>
      </c>
      <c r="D185" s="10" t="s">
        <v>20</v>
      </c>
      <c r="E185" s="18">
        <v>4000</v>
      </c>
      <c r="F185" s="18">
        <v>6600</v>
      </c>
      <c r="G185" s="18">
        <v>2687</v>
      </c>
      <c r="H185" s="37">
        <v>7.8</v>
      </c>
      <c r="I185" s="37">
        <v>7.75</v>
      </c>
      <c r="J185" s="12">
        <f t="array" ref="J18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43782</v>
      </c>
      <c r="K185" s="59">
        <f>IFERROR(Table13[[#This Row],[Bid Accepted]]*(Table13[[#This Row],[WAYR Current]]%/364*Table13[[#This Row],[Days To Maturity]]),0)</f>
        <v>52.396500000000003</v>
      </c>
      <c r="L185" s="41">
        <f>+Table13[[#This Row],[Bid Accepted]]-Table13[[#This Row],[Amount Offered]]</f>
        <v>-1313</v>
      </c>
      <c r="M185" s="57">
        <f>+IF(Table13[[#This Row],[WAYR Last]]&gt;0,IF(Table13[[#This Row],[WAYR Current]]&gt;0,(Table13[[#This Row],[WAYR Current]]-Table13[[#This Row],[WAYR Last]]),""),"")</f>
        <v>4.9999999999999822E-2</v>
      </c>
      <c r="N185" s="5"/>
      <c r="P185" s="67"/>
      <c r="Q185" s="67"/>
      <c r="R185" s="67"/>
      <c r="S185" s="67"/>
      <c r="T185" s="67"/>
      <c r="U185" s="5"/>
      <c r="V185" s="5"/>
      <c r="AG185" s="5"/>
      <c r="AH185" s="13">
        <v>44384</v>
      </c>
      <c r="AI185" s="78">
        <v>48000</v>
      </c>
      <c r="AJ185" s="78">
        <v>79821</v>
      </c>
      <c r="AK185" s="78">
        <v>44940</v>
      </c>
      <c r="AL185" s="78">
        <v>31821</v>
      </c>
      <c r="AM185" s="78">
        <v>-3060</v>
      </c>
      <c r="AN185" s="78">
        <v>5.23</v>
      </c>
      <c r="AO185" s="77">
        <v>-6.3750000000000001E-2</v>
      </c>
      <c r="AP185" s="77"/>
      <c r="AQ185" s="5"/>
      <c r="AR185" s="5">
        <v>44741</v>
      </c>
      <c r="AS185" s="5">
        <v>1.3742399999999999</v>
      </c>
      <c r="AT185" s="78">
        <v>1.6549</v>
      </c>
      <c r="AU185" s="78">
        <v>1.3773500000000001</v>
      </c>
      <c r="AV185" s="64">
        <v>1.4474709677419355</v>
      </c>
      <c r="AX185" s="78"/>
      <c r="AY185" s="13">
        <v>44384</v>
      </c>
    </row>
    <row r="186" spans="1:51" x14ac:dyDescent="0.2">
      <c r="A186" s="9">
        <v>43690</v>
      </c>
      <c r="B186" s="10" t="s">
        <v>226</v>
      </c>
      <c r="C186" s="10">
        <v>182</v>
      </c>
      <c r="D186" s="10" t="s">
        <v>71</v>
      </c>
      <c r="E186" s="18">
        <v>2000</v>
      </c>
      <c r="F186" s="18">
        <v>2620</v>
      </c>
      <c r="G186" s="18">
        <v>0</v>
      </c>
      <c r="H186" s="37">
        <v>0</v>
      </c>
      <c r="I186" s="37">
        <v>7.85</v>
      </c>
      <c r="J186" s="12">
        <f t="array" ref="J18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43874</v>
      </c>
      <c r="K186" s="59">
        <f>IFERROR(Table13[[#This Row],[Bid Accepted]]*(Table13[[#This Row],[WAYR Current]]%/364*Table13[[#This Row],[Days To Maturity]]),0)</f>
        <v>0</v>
      </c>
      <c r="L186" s="41">
        <f>+Table13[[#This Row],[Bid Accepted]]-Table13[[#This Row],[Amount Offered]]</f>
        <v>-2000</v>
      </c>
      <c r="M186" s="57" t="str">
        <f>+IF(Table13[[#This Row],[WAYR Last]]&gt;0,IF(Table13[[#This Row],[WAYR Current]]&gt;0,(Table13[[#This Row],[WAYR Current]]-Table13[[#This Row],[WAYR Last]]),""),"")</f>
        <v/>
      </c>
      <c r="N186" s="5"/>
      <c r="P186" s="67"/>
      <c r="Q186" s="67"/>
      <c r="R186" s="67"/>
      <c r="S186" s="67"/>
      <c r="T186" s="67"/>
      <c r="U186" s="5"/>
      <c r="V186" s="5"/>
      <c r="AG186" s="5"/>
      <c r="AH186" s="13">
        <v>44391</v>
      </c>
      <c r="AI186" s="78">
        <v>56000</v>
      </c>
      <c r="AJ186" s="78">
        <v>111355</v>
      </c>
      <c r="AK186" s="78">
        <v>56000</v>
      </c>
      <c r="AL186" s="78">
        <v>55355</v>
      </c>
      <c r="AM186" s="78">
        <v>0</v>
      </c>
      <c r="AN186" s="78">
        <v>5.24</v>
      </c>
      <c r="AO186" s="77">
        <v>0</v>
      </c>
      <c r="AP186" s="77"/>
      <c r="AQ186" s="5"/>
      <c r="AR186" s="5">
        <v>44748</v>
      </c>
      <c r="AS186" s="5">
        <v>1.3489428571428572</v>
      </c>
      <c r="AT186" s="78">
        <v>1.0662285714285715</v>
      </c>
      <c r="AU186" s="78">
        <v>1.0282285714285715</v>
      </c>
      <c r="AV186" s="64">
        <v>1.1980857142857142</v>
      </c>
      <c r="AX186" s="78"/>
      <c r="AY186" s="13">
        <v>44391</v>
      </c>
    </row>
    <row r="187" spans="1:51" x14ac:dyDescent="0.2">
      <c r="A187" s="9">
        <v>43690</v>
      </c>
      <c r="B187" s="10" t="s">
        <v>227</v>
      </c>
      <c r="C187" s="10">
        <v>364</v>
      </c>
      <c r="D187" s="10" t="s">
        <v>20</v>
      </c>
      <c r="E187" s="18">
        <v>16000</v>
      </c>
      <c r="F187" s="18">
        <v>23115</v>
      </c>
      <c r="G187" s="18">
        <v>16000</v>
      </c>
      <c r="H187" s="37">
        <v>8.17</v>
      </c>
      <c r="I187" s="37">
        <v>8.11</v>
      </c>
      <c r="J187" s="12">
        <f t="array" ref="J18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44056</v>
      </c>
      <c r="K187" s="59">
        <f>IFERROR(Table13[[#This Row],[Bid Accepted]]*(Table13[[#This Row],[WAYR Current]]%/364*Table13[[#This Row],[Days To Maturity]]),0)</f>
        <v>1307.1999999999998</v>
      </c>
      <c r="L187" s="41">
        <f>+Table13[[#This Row],[Bid Accepted]]-Table13[[#This Row],[Amount Offered]]</f>
        <v>0</v>
      </c>
      <c r="M187" s="57">
        <f>+IF(Table13[[#This Row],[WAYR Last]]&gt;0,IF(Table13[[#This Row],[WAYR Current]]&gt;0,(Table13[[#This Row],[WAYR Current]]-Table13[[#This Row],[WAYR Last]]),""),"")</f>
        <v>6.0000000000000497E-2</v>
      </c>
      <c r="N187" s="5"/>
      <c r="P187" s="67"/>
      <c r="Q187" s="67"/>
      <c r="R187" s="67"/>
      <c r="S187" s="67"/>
      <c r="T187" s="67"/>
      <c r="U187" s="5"/>
      <c r="V187" s="5"/>
      <c r="AG187" s="5"/>
      <c r="AH187" s="13">
        <v>44394</v>
      </c>
      <c r="AI187" s="78">
        <v>64000</v>
      </c>
      <c r="AJ187" s="78">
        <v>101515</v>
      </c>
      <c r="AK187" s="78">
        <v>46145</v>
      </c>
      <c r="AL187" s="78">
        <v>37515</v>
      </c>
      <c r="AM187" s="78">
        <v>-17855</v>
      </c>
      <c r="AN187" s="78">
        <v>5.25</v>
      </c>
      <c r="AO187" s="77">
        <v>-0.27898437500000001</v>
      </c>
      <c r="AP187" s="77"/>
      <c r="AQ187" s="5"/>
      <c r="AR187" s="5">
        <v>44754</v>
      </c>
      <c r="AS187" s="78">
        <v>2.08528125</v>
      </c>
      <c r="AT187" s="78">
        <v>1.0881818181818181</v>
      </c>
      <c r="AU187" s="78">
        <v>1.0838181818181818</v>
      </c>
      <c r="AV187" s="64">
        <v>1.5779538461538463</v>
      </c>
      <c r="AX187" s="78"/>
      <c r="AY187" s="13">
        <v>44394</v>
      </c>
    </row>
    <row r="188" spans="1:51" x14ac:dyDescent="0.2">
      <c r="A188" s="9">
        <v>43698</v>
      </c>
      <c r="B188" s="10" t="s">
        <v>228</v>
      </c>
      <c r="C188" s="10">
        <v>91</v>
      </c>
      <c r="D188" s="10" t="s">
        <v>20</v>
      </c>
      <c r="E188" s="18">
        <v>1500</v>
      </c>
      <c r="F188" s="18">
        <v>3103</v>
      </c>
      <c r="G188" s="18">
        <v>1610</v>
      </c>
      <c r="H188" s="37">
        <v>7.84</v>
      </c>
      <c r="I188" s="37">
        <v>7.8</v>
      </c>
      <c r="J188" s="12">
        <f t="array" ref="J18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43790</v>
      </c>
      <c r="K188" s="59">
        <f>IFERROR(Table13[[#This Row],[Bid Accepted]]*(Table13[[#This Row],[WAYR Current]]%/364*Table13[[#This Row],[Days To Maturity]]),0)</f>
        <v>31.555999999999997</v>
      </c>
      <c r="L188" s="41">
        <f>+Table13[[#This Row],[Bid Accepted]]-Table13[[#This Row],[Amount Offered]]</f>
        <v>110</v>
      </c>
      <c r="M188" s="57">
        <f>+IF(Table13[[#This Row],[WAYR Last]]&gt;0,IF(Table13[[#This Row],[WAYR Current]]&gt;0,(Table13[[#This Row],[WAYR Current]]-Table13[[#This Row],[WAYR Last]]),""),"")</f>
        <v>4.0000000000000036E-2</v>
      </c>
      <c r="N188" s="5"/>
      <c r="P188" s="67"/>
      <c r="Q188" s="67"/>
      <c r="R188" s="67"/>
      <c r="S188" s="67"/>
      <c r="T188" s="67"/>
      <c r="U188" s="5"/>
      <c r="V188" s="5"/>
      <c r="AG188" s="5"/>
      <c r="AH188" s="13">
        <v>44396</v>
      </c>
      <c r="AI188" s="78">
        <v>64000</v>
      </c>
      <c r="AJ188" s="78">
        <v>101515</v>
      </c>
      <c r="AK188" s="78">
        <v>46145</v>
      </c>
      <c r="AL188" s="78">
        <v>37515</v>
      </c>
      <c r="AM188" s="78">
        <v>-17855</v>
      </c>
      <c r="AN188" s="78">
        <v>5.25</v>
      </c>
      <c r="AO188" s="77">
        <v>-0.27898437500000001</v>
      </c>
      <c r="AP188" s="77"/>
      <c r="AQ188" s="5"/>
      <c r="AR188" s="5">
        <v>44762</v>
      </c>
      <c r="AS188" s="78">
        <v>4.5558399999999999</v>
      </c>
      <c r="AT188" s="78">
        <v>1.3532</v>
      </c>
      <c r="AU188" s="78">
        <v>1.6714666666666667</v>
      </c>
      <c r="AV188" s="64">
        <v>2.8957454545454544</v>
      </c>
      <c r="AX188" s="78"/>
      <c r="AY188" s="13">
        <v>44396</v>
      </c>
    </row>
    <row r="189" spans="1:51" x14ac:dyDescent="0.2">
      <c r="A189" s="9">
        <v>43698</v>
      </c>
      <c r="B189" s="10" t="s">
        <v>229</v>
      </c>
      <c r="C189" s="10">
        <v>182</v>
      </c>
      <c r="D189" s="10" t="s">
        <v>20</v>
      </c>
      <c r="E189" s="18">
        <v>1500</v>
      </c>
      <c r="F189" s="18">
        <v>2700</v>
      </c>
      <c r="G189" s="18">
        <v>1542</v>
      </c>
      <c r="H189" s="37">
        <v>7.89</v>
      </c>
      <c r="I189" s="37">
        <v>0</v>
      </c>
      <c r="J189" s="12">
        <f t="array" ref="J18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43882</v>
      </c>
      <c r="K189" s="59">
        <f>IFERROR(Table13[[#This Row],[Bid Accepted]]*(Table13[[#This Row],[WAYR Current]]%/364*Table13[[#This Row],[Days To Maturity]]),0)</f>
        <v>60.831899999999997</v>
      </c>
      <c r="L189" s="41">
        <f>+Table13[[#This Row],[Bid Accepted]]-Table13[[#This Row],[Amount Offered]]</f>
        <v>42</v>
      </c>
      <c r="M189" s="57" t="str">
        <f>+IF(Table13[[#This Row],[WAYR Last]]&gt;0,IF(Table13[[#This Row],[WAYR Current]]&gt;0,(Table13[[#This Row],[WAYR Current]]-Table13[[#This Row],[WAYR Last]]),""),"")</f>
        <v/>
      </c>
      <c r="N189" s="5"/>
      <c r="P189" s="67"/>
      <c r="Q189" s="67"/>
      <c r="R189" s="67"/>
      <c r="S189" s="67"/>
      <c r="T189" s="67"/>
      <c r="U189" s="5"/>
      <c r="V189" s="5"/>
      <c r="AG189" s="5"/>
      <c r="AH189" s="13">
        <v>44405</v>
      </c>
      <c r="AI189" s="78">
        <v>47500</v>
      </c>
      <c r="AJ189" s="78">
        <v>66051</v>
      </c>
      <c r="AK189" s="78">
        <v>27694</v>
      </c>
      <c r="AL189" s="78">
        <v>18551</v>
      </c>
      <c r="AM189" s="78">
        <v>-19806</v>
      </c>
      <c r="AN189" s="78">
        <v>5.25</v>
      </c>
      <c r="AO189" s="77">
        <v>-0.4169684210526316</v>
      </c>
      <c r="AP189" s="77"/>
      <c r="AQ189" s="5"/>
      <c r="AR189" s="5">
        <v>44769</v>
      </c>
      <c r="AS189" s="78">
        <v>3.1931733333333332</v>
      </c>
      <c r="AT189" s="78">
        <v>1.2221599999999999</v>
      </c>
      <c r="AU189" s="78">
        <v>1.4782666666666666</v>
      </c>
      <c r="AV189" s="64">
        <v>2.1595176470588235</v>
      </c>
      <c r="AX189" s="78"/>
      <c r="AY189" s="13">
        <v>44405</v>
      </c>
    </row>
    <row r="190" spans="1:51" x14ac:dyDescent="0.2">
      <c r="A190" s="9">
        <v>43698</v>
      </c>
      <c r="B190" s="10" t="s">
        <v>230</v>
      </c>
      <c r="C190" s="10">
        <v>364</v>
      </c>
      <c r="D190" s="10" t="s">
        <v>20</v>
      </c>
      <c r="E190" s="18">
        <v>15000</v>
      </c>
      <c r="F190" s="18">
        <v>28350</v>
      </c>
      <c r="G190" s="18">
        <v>14848</v>
      </c>
      <c r="H190" s="37">
        <v>8.31</v>
      </c>
      <c r="I190" s="37">
        <v>8.17</v>
      </c>
      <c r="J190" s="12">
        <f t="array" ref="J19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44064</v>
      </c>
      <c r="K190" s="59">
        <f>IFERROR(Table13[[#This Row],[Bid Accepted]]*(Table13[[#This Row],[WAYR Current]]%/364*Table13[[#This Row],[Days To Maturity]]),0)</f>
        <v>1233.8688000000002</v>
      </c>
      <c r="L190" s="41">
        <f>+Table13[[#This Row],[Bid Accepted]]-Table13[[#This Row],[Amount Offered]]</f>
        <v>-152</v>
      </c>
      <c r="M190" s="57">
        <f>+IF(Table13[[#This Row],[WAYR Last]]&gt;0,IF(Table13[[#This Row],[WAYR Current]]&gt;0,(Table13[[#This Row],[WAYR Current]]-Table13[[#This Row],[WAYR Last]]),""),"")</f>
        <v>0.14000000000000057</v>
      </c>
      <c r="N190" s="5"/>
      <c r="P190" s="67"/>
      <c r="Q190" s="67"/>
      <c r="R190" s="67"/>
      <c r="S190" s="67"/>
      <c r="T190" s="67"/>
      <c r="U190" s="5"/>
      <c r="V190" s="5"/>
      <c r="AG190" s="5"/>
      <c r="AH190" s="13">
        <v>44412</v>
      </c>
      <c r="AI190" s="78">
        <v>46000</v>
      </c>
      <c r="AJ190" s="78">
        <v>76082</v>
      </c>
      <c r="AK190" s="78">
        <v>40032</v>
      </c>
      <c r="AL190" s="78">
        <v>30082</v>
      </c>
      <c r="AM190" s="78">
        <v>-5968</v>
      </c>
      <c r="AN190" s="78">
        <v>5.28</v>
      </c>
      <c r="AO190" s="77">
        <v>-0.12973913043478261</v>
      </c>
      <c r="AP190" s="77"/>
      <c r="AQ190" s="5"/>
      <c r="AR190" s="5">
        <v>44776</v>
      </c>
      <c r="AS190" s="78">
        <v>3.6551428571428572</v>
      </c>
      <c r="AT190" s="78">
        <v>1.0822181818181817</v>
      </c>
      <c r="AU190" s="78">
        <v>1.32036</v>
      </c>
      <c r="AV190" s="64">
        <v>2.1794285714285713</v>
      </c>
      <c r="AX190" s="78"/>
      <c r="AY190" s="13">
        <v>44412</v>
      </c>
    </row>
    <row r="191" spans="1:51" x14ac:dyDescent="0.2">
      <c r="A191" s="9">
        <v>43705</v>
      </c>
      <c r="B191" s="10"/>
      <c r="C191" s="10">
        <v>91</v>
      </c>
      <c r="D191" s="10" t="s">
        <v>20</v>
      </c>
      <c r="E191" s="18">
        <v>1000</v>
      </c>
      <c r="F191" s="18">
        <v>5802</v>
      </c>
      <c r="G191" s="18">
        <v>1000</v>
      </c>
      <c r="H191" s="37">
        <v>7.63</v>
      </c>
      <c r="I191" s="37">
        <v>7.84</v>
      </c>
      <c r="J191" s="12">
        <f t="array" ref="J19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43797</v>
      </c>
      <c r="K191" s="59">
        <f>IFERROR(Table13[[#This Row],[Bid Accepted]]*(Table13[[#This Row],[WAYR Current]]%/364*Table13[[#This Row],[Days To Maturity]]),0)</f>
        <v>19.074999999999999</v>
      </c>
      <c r="L191" s="41">
        <f>+Table13[[#This Row],[Bid Accepted]]-Table13[[#This Row],[Amount Offered]]</f>
        <v>0</v>
      </c>
      <c r="M191" s="57">
        <f>+IF(Table13[[#This Row],[WAYR Last]]&gt;0,IF(Table13[[#This Row],[WAYR Current]]&gt;0,(Table13[[#This Row],[WAYR Current]]-Table13[[#This Row],[WAYR Last]]),""),"")</f>
        <v>-0.20999999999999996</v>
      </c>
      <c r="N191" s="5"/>
      <c r="P191" s="67"/>
      <c r="Q191" s="67"/>
      <c r="R191" s="67"/>
      <c r="S191" s="67"/>
      <c r="T191" s="67"/>
      <c r="U191" s="5"/>
      <c r="V191" s="5"/>
      <c r="AG191" s="5"/>
      <c r="AH191" s="13">
        <v>44419</v>
      </c>
      <c r="AI191" s="78">
        <v>30500</v>
      </c>
      <c r="AJ191" s="78">
        <v>56708</v>
      </c>
      <c r="AK191" s="78">
        <v>28418</v>
      </c>
      <c r="AL191" s="78">
        <v>26208</v>
      </c>
      <c r="AM191" s="78">
        <v>-2082</v>
      </c>
      <c r="AN191" s="78">
        <v>5.32</v>
      </c>
      <c r="AO191" s="77">
        <v>-6.8262295081967211E-2</v>
      </c>
      <c r="AP191" s="77"/>
      <c r="AQ191" s="5"/>
      <c r="AR191" s="5">
        <v>44782</v>
      </c>
      <c r="AS191" s="78">
        <v>2.2779714285714285</v>
      </c>
      <c r="AT191" s="78">
        <v>0.96467999999999998</v>
      </c>
      <c r="AU191" s="78">
        <v>0.99156</v>
      </c>
      <c r="AV191" s="64">
        <v>1.5133529411764706</v>
      </c>
      <c r="AX191" s="78"/>
      <c r="AY191" s="13">
        <v>44419</v>
      </c>
    </row>
    <row r="192" spans="1:51" x14ac:dyDescent="0.2">
      <c r="A192" s="9">
        <v>43705</v>
      </c>
      <c r="B192" s="10"/>
      <c r="C192" s="10">
        <v>182</v>
      </c>
      <c r="D192" s="10" t="s">
        <v>20</v>
      </c>
      <c r="E192" s="18">
        <v>1000</v>
      </c>
      <c r="F192" s="18">
        <v>4086</v>
      </c>
      <c r="G192" s="18">
        <v>1000</v>
      </c>
      <c r="H192" s="37">
        <v>7.7</v>
      </c>
      <c r="I192" s="37">
        <v>7.89</v>
      </c>
      <c r="J192" s="12">
        <f t="array" ref="J19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43889</v>
      </c>
      <c r="K192" s="59">
        <f>IFERROR(Table13[[#This Row],[Bid Accepted]]*(Table13[[#This Row],[WAYR Current]]%/364*Table13[[#This Row],[Days To Maturity]]),0)</f>
        <v>38.5</v>
      </c>
      <c r="L192" s="41">
        <f>+Table13[[#This Row],[Bid Accepted]]-Table13[[#This Row],[Amount Offered]]</f>
        <v>0</v>
      </c>
      <c r="M192" s="57">
        <f>+IF(Table13[[#This Row],[WAYR Last]]&gt;0,IF(Table13[[#This Row],[WAYR Current]]&gt;0,(Table13[[#This Row],[WAYR Current]]-Table13[[#This Row],[WAYR Last]]),""),"")</f>
        <v>-0.1899999999999995</v>
      </c>
      <c r="N192" s="5"/>
      <c r="P192" s="67"/>
      <c r="Q192" s="67"/>
      <c r="R192" s="67"/>
      <c r="S192" s="67"/>
      <c r="T192" s="67"/>
      <c r="U192" s="5"/>
      <c r="V192" s="5"/>
      <c r="AG192" s="5"/>
      <c r="AH192" s="13">
        <v>44426</v>
      </c>
      <c r="AI192" s="78">
        <v>53500</v>
      </c>
      <c r="AJ192" s="78">
        <v>67355</v>
      </c>
      <c r="AK192" s="78">
        <v>24162</v>
      </c>
      <c r="AL192" s="78">
        <v>13855</v>
      </c>
      <c r="AM192" s="78">
        <v>-29338</v>
      </c>
      <c r="AN192" s="78">
        <v>0</v>
      </c>
      <c r="AO192" s="77">
        <v>-0.54837383177570098</v>
      </c>
      <c r="AP192" s="77"/>
      <c r="AQ192" s="5"/>
      <c r="AR192" s="5">
        <v>44790</v>
      </c>
      <c r="AS192" s="78">
        <v>2.1876333333333333</v>
      </c>
      <c r="AT192" s="78">
        <v>1.4426666666666668</v>
      </c>
      <c r="AU192" s="78">
        <v>1.1703333333333332</v>
      </c>
      <c r="AV192" s="64">
        <v>1.7470666666666668</v>
      </c>
      <c r="AX192" s="78"/>
      <c r="AY192" s="13">
        <v>44426</v>
      </c>
    </row>
    <row r="193" spans="1:51" x14ac:dyDescent="0.2">
      <c r="A193" s="9">
        <v>43705</v>
      </c>
      <c r="B193" s="10"/>
      <c r="C193" s="10">
        <v>364</v>
      </c>
      <c r="D193" s="10" t="s">
        <v>20</v>
      </c>
      <c r="E193" s="18">
        <v>10500</v>
      </c>
      <c r="F193" s="18">
        <v>27100</v>
      </c>
      <c r="G193" s="18">
        <v>10500</v>
      </c>
      <c r="H193" s="37">
        <v>8.2200000000000006</v>
      </c>
      <c r="I193" s="37">
        <v>8.31</v>
      </c>
      <c r="J193" s="12">
        <f t="array" ref="J19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44071</v>
      </c>
      <c r="K193" s="59">
        <f>IFERROR(Table13[[#This Row],[Bid Accepted]]*(Table13[[#This Row],[WAYR Current]]%/364*Table13[[#This Row],[Days To Maturity]]),0)</f>
        <v>863.10000000000014</v>
      </c>
      <c r="L193" s="41">
        <f>+Table13[[#This Row],[Bid Accepted]]-Table13[[#This Row],[Amount Offered]]</f>
        <v>0</v>
      </c>
      <c r="M193" s="57">
        <f>+IF(Table13[[#This Row],[WAYR Last]]&gt;0,IF(Table13[[#This Row],[WAYR Current]]&gt;0,(Table13[[#This Row],[WAYR Current]]-Table13[[#This Row],[WAYR Last]]),""),"")</f>
        <v>-8.9999999999999858E-2</v>
      </c>
      <c r="N193" s="5"/>
      <c r="P193" s="67"/>
      <c r="Q193" s="67"/>
      <c r="R193" s="67"/>
      <c r="S193" s="67"/>
      <c r="T193" s="67"/>
      <c r="U193" s="5"/>
      <c r="V193" s="5"/>
      <c r="AG193" s="5"/>
      <c r="AH193" s="13">
        <v>44433</v>
      </c>
      <c r="AI193" s="78">
        <v>56500</v>
      </c>
      <c r="AJ193" s="78">
        <v>88492</v>
      </c>
      <c r="AK193" s="78">
        <v>37317</v>
      </c>
      <c r="AL193" s="78">
        <v>31992</v>
      </c>
      <c r="AM193" s="78">
        <v>-19183</v>
      </c>
      <c r="AN193" s="78">
        <v>5.93</v>
      </c>
      <c r="AO193" s="77">
        <v>-0.33952212389380532</v>
      </c>
      <c r="AP193" s="77"/>
      <c r="AQ193" s="5"/>
      <c r="AR193" s="5">
        <v>44797</v>
      </c>
      <c r="AS193" s="78">
        <v>1.3231363636363636</v>
      </c>
      <c r="AT193" s="78">
        <v>1.1337391304347826</v>
      </c>
      <c r="AU193" s="78">
        <v>1.0697826086956521</v>
      </c>
      <c r="AV193" s="64">
        <v>1.2099888888888888</v>
      </c>
      <c r="AX193" s="78"/>
      <c r="AY193" s="13">
        <v>44433</v>
      </c>
    </row>
    <row r="194" spans="1:51" x14ac:dyDescent="0.2">
      <c r="A194" s="9">
        <v>43712</v>
      </c>
      <c r="B194" s="10"/>
      <c r="C194" s="10">
        <v>91</v>
      </c>
      <c r="D194" s="10" t="s">
        <v>20</v>
      </c>
      <c r="E194" s="18">
        <v>1000</v>
      </c>
      <c r="F194" s="18">
        <v>3204</v>
      </c>
      <c r="G194" s="18">
        <v>0</v>
      </c>
      <c r="H194" s="37">
        <v>0</v>
      </c>
      <c r="I194" s="37">
        <v>7.63</v>
      </c>
      <c r="J194" s="12">
        <f t="array" ref="J19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43803</v>
      </c>
      <c r="K194" s="59">
        <f>IFERROR(Table13[[#This Row],[Bid Accepted]]*(Table13[[#This Row],[WAYR Current]]%/364*Table13[[#This Row],[Days To Maturity]]),0)</f>
        <v>0</v>
      </c>
      <c r="L194" s="41">
        <f>+Table13[[#This Row],[Bid Accepted]]-Table13[[#This Row],[Amount Offered]]</f>
        <v>-1000</v>
      </c>
      <c r="M194" s="57" t="str">
        <f>+IF(Table13[[#This Row],[WAYR Last]]&gt;0,IF(Table13[[#This Row],[WAYR Current]]&gt;0,(Table13[[#This Row],[WAYR Current]]-Table13[[#This Row],[WAYR Last]]),""),"")</f>
        <v/>
      </c>
      <c r="N194" s="5"/>
      <c r="P194" s="67"/>
      <c r="Q194" s="67"/>
      <c r="R194" s="67"/>
      <c r="S194" s="67"/>
      <c r="T194" s="67"/>
      <c r="U194" s="5"/>
      <c r="V194" s="5"/>
      <c r="AG194" s="5"/>
      <c r="AH194" s="13">
        <v>44440</v>
      </c>
      <c r="AI194" s="78">
        <v>68500</v>
      </c>
      <c r="AJ194" s="78">
        <v>83106</v>
      </c>
      <c r="AK194" s="78">
        <v>25251</v>
      </c>
      <c r="AL194" s="78">
        <v>14606</v>
      </c>
      <c r="AM194" s="78">
        <v>-43249</v>
      </c>
      <c r="AN194" s="78">
        <v>5.96</v>
      </c>
      <c r="AO194" s="77">
        <v>-0.6313722627737226</v>
      </c>
      <c r="AP194" s="77"/>
      <c r="AQ194" s="5"/>
      <c r="AR194" s="5">
        <v>44804</v>
      </c>
      <c r="AS194" s="78">
        <v>1.9377818181818183</v>
      </c>
      <c r="AT194" s="78">
        <v>1.0410999999999999</v>
      </c>
      <c r="AU194" s="78">
        <v>1.0825499999999999</v>
      </c>
      <c r="AV194" s="64">
        <v>1.4186962962962963</v>
      </c>
      <c r="AX194" s="78"/>
      <c r="AY194" s="13">
        <v>44440</v>
      </c>
    </row>
    <row r="195" spans="1:51" x14ac:dyDescent="0.2">
      <c r="A195" s="9">
        <v>43712</v>
      </c>
      <c r="B195" s="10"/>
      <c r="C195" s="10">
        <v>182</v>
      </c>
      <c r="D195" s="10" t="s">
        <v>20</v>
      </c>
      <c r="E195" s="18">
        <v>1000</v>
      </c>
      <c r="F195" s="18">
        <v>2204</v>
      </c>
      <c r="G195" s="18">
        <v>0</v>
      </c>
      <c r="H195" s="37">
        <v>0</v>
      </c>
      <c r="I195" s="37">
        <v>7.7</v>
      </c>
      <c r="J195" s="12">
        <f t="array" ref="J19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43894</v>
      </c>
      <c r="K195" s="59">
        <f>IFERROR(Table13[[#This Row],[Bid Accepted]]*(Table13[[#This Row],[WAYR Current]]%/364*Table13[[#This Row],[Days To Maturity]]),0)</f>
        <v>0</v>
      </c>
      <c r="L195" s="41">
        <f>+Table13[[#This Row],[Bid Accepted]]-Table13[[#This Row],[Amount Offered]]</f>
        <v>-1000</v>
      </c>
      <c r="M195" s="57" t="str">
        <f>+IF(Table13[[#This Row],[WAYR Last]]&gt;0,IF(Table13[[#This Row],[WAYR Current]]&gt;0,(Table13[[#This Row],[WAYR Current]]-Table13[[#This Row],[WAYR Last]]),""),"")</f>
        <v/>
      </c>
      <c r="N195" s="5"/>
      <c r="P195" s="67"/>
      <c r="Q195" s="67"/>
      <c r="R195" s="67"/>
      <c r="S195" s="67"/>
      <c r="T195" s="67"/>
      <c r="U195" s="5"/>
      <c r="V195" s="5"/>
      <c r="AG195" s="5"/>
      <c r="AH195" s="13">
        <v>44447</v>
      </c>
      <c r="AI195" s="78">
        <v>64000</v>
      </c>
      <c r="AJ195" s="78">
        <v>84329</v>
      </c>
      <c r="AK195" s="78">
        <v>30784</v>
      </c>
      <c r="AL195" s="78">
        <v>20329</v>
      </c>
      <c r="AM195" s="78">
        <v>-33216</v>
      </c>
      <c r="AN195" s="78">
        <v>6.05</v>
      </c>
      <c r="AO195" s="77">
        <v>-0.51900000000000002</v>
      </c>
      <c r="AP195" s="77"/>
      <c r="AQ195" s="5"/>
      <c r="AR195" s="5">
        <v>44811</v>
      </c>
      <c r="AS195" s="78">
        <v>1.9825333333333333</v>
      </c>
      <c r="AT195" s="78">
        <v>1.01372</v>
      </c>
      <c r="AU195" s="78">
        <v>1.0806500000000001</v>
      </c>
      <c r="AV195" s="64">
        <v>1.4190933333333333</v>
      </c>
      <c r="AX195" s="78"/>
      <c r="AY195" s="13">
        <v>44447</v>
      </c>
    </row>
    <row r="196" spans="1:51" x14ac:dyDescent="0.2">
      <c r="A196" s="9">
        <v>43712</v>
      </c>
      <c r="B196" s="10"/>
      <c r="C196" s="10">
        <v>364</v>
      </c>
      <c r="D196" s="10" t="s">
        <v>20</v>
      </c>
      <c r="E196" s="18">
        <v>13000</v>
      </c>
      <c r="F196" s="18">
        <v>26700</v>
      </c>
      <c r="G196" s="18">
        <v>15000</v>
      </c>
      <c r="H196" s="37">
        <v>8.33</v>
      </c>
      <c r="I196" s="37">
        <v>8.2200000000000006</v>
      </c>
      <c r="J196" s="12">
        <f t="array" ref="J19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44078</v>
      </c>
      <c r="K196" s="59">
        <f>IFERROR(Table13[[#This Row],[Bid Accepted]]*(Table13[[#This Row],[WAYR Current]]%/364*Table13[[#This Row],[Days To Maturity]]),0)</f>
        <v>1249.5</v>
      </c>
      <c r="L196" s="41">
        <f>+Table13[[#This Row],[Bid Accepted]]-Table13[[#This Row],[Amount Offered]]</f>
        <v>2000</v>
      </c>
      <c r="M196" s="57">
        <f>+IF(Table13[[#This Row],[WAYR Last]]&gt;0,IF(Table13[[#This Row],[WAYR Current]]&gt;0,(Table13[[#This Row],[WAYR Current]]-Table13[[#This Row],[WAYR Last]]),""),"")</f>
        <v>0.10999999999999943</v>
      </c>
      <c r="N196" s="5"/>
      <c r="P196" s="67"/>
      <c r="Q196" s="67"/>
      <c r="R196" s="67"/>
      <c r="S196" s="67"/>
      <c r="T196" s="67"/>
      <c r="U196" s="5"/>
      <c r="V196" s="5"/>
      <c r="AG196" s="5"/>
      <c r="AH196" s="13">
        <v>44454</v>
      </c>
      <c r="AI196" s="78">
        <v>39500</v>
      </c>
      <c r="AJ196" s="78">
        <v>52940</v>
      </c>
      <c r="AK196" s="78">
        <v>19578</v>
      </c>
      <c r="AL196" s="78">
        <v>13440</v>
      </c>
      <c r="AM196" s="78">
        <v>-19922</v>
      </c>
      <c r="AN196" s="78">
        <v>6.12</v>
      </c>
      <c r="AO196" s="77">
        <v>-0.50435443037974681</v>
      </c>
      <c r="AP196" s="77"/>
      <c r="AQ196" s="5"/>
      <c r="AR196" s="5">
        <v>44818</v>
      </c>
      <c r="AS196" s="78">
        <v>3.8781714285714286</v>
      </c>
      <c r="AT196" s="78">
        <v>1.01732</v>
      </c>
      <c r="AU196" s="78">
        <v>1.0777000000000001</v>
      </c>
      <c r="AV196" s="64">
        <v>2.2840375000000002</v>
      </c>
      <c r="AX196" s="78"/>
      <c r="AY196" s="13">
        <v>44454</v>
      </c>
    </row>
    <row r="197" spans="1:51" x14ac:dyDescent="0.2">
      <c r="A197" s="9">
        <v>43718</v>
      </c>
      <c r="B197" s="10"/>
      <c r="C197" s="10">
        <v>91</v>
      </c>
      <c r="D197" s="10" t="s">
        <v>20</v>
      </c>
      <c r="E197" s="18">
        <v>1000</v>
      </c>
      <c r="F197" s="18">
        <v>6505</v>
      </c>
      <c r="G197" s="18">
        <v>2592</v>
      </c>
      <c r="H197" s="37">
        <v>7.61</v>
      </c>
      <c r="I197" s="37">
        <v>0</v>
      </c>
      <c r="J197" s="12">
        <f t="array" ref="J19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43809</v>
      </c>
      <c r="K197" s="59">
        <f>IFERROR(Table13[[#This Row],[Bid Accepted]]*(Table13[[#This Row],[WAYR Current]]%/364*Table13[[#This Row],[Days To Maturity]]),0)</f>
        <v>49.312800000000003</v>
      </c>
      <c r="L197" s="41">
        <f>+Table13[[#This Row],[Bid Accepted]]-Table13[[#This Row],[Amount Offered]]</f>
        <v>1592</v>
      </c>
      <c r="M197" s="57" t="str">
        <f>+IF(Table13[[#This Row],[WAYR Last]]&gt;0,IF(Table13[[#This Row],[WAYR Current]]&gt;0,(Table13[[#This Row],[WAYR Current]]-Table13[[#This Row],[WAYR Last]]),""),"")</f>
        <v/>
      </c>
      <c r="N197" s="5"/>
      <c r="P197" s="67"/>
      <c r="Q197" s="67"/>
      <c r="R197" s="67"/>
      <c r="S197" s="67"/>
      <c r="T197" s="67"/>
      <c r="U197" s="5"/>
      <c r="V197" s="5"/>
      <c r="AG197" s="5"/>
      <c r="AH197" s="13">
        <v>44461</v>
      </c>
      <c r="AI197" s="78">
        <v>39500</v>
      </c>
      <c r="AJ197" s="78">
        <v>55473</v>
      </c>
      <c r="AK197" s="78">
        <v>20171</v>
      </c>
      <c r="AL197" s="78">
        <v>15973</v>
      </c>
      <c r="AM197" s="78">
        <v>-19329</v>
      </c>
      <c r="AN197" s="78">
        <v>6.5</v>
      </c>
      <c r="AO197" s="77">
        <v>-0.48934177215189872</v>
      </c>
      <c r="AP197" s="77"/>
      <c r="AQ197" s="5"/>
      <c r="AR197" s="5">
        <v>44825</v>
      </c>
      <c r="AS197" s="78">
        <v>3.6045357142857144</v>
      </c>
      <c r="AT197" s="78">
        <v>1.0801499999999999</v>
      </c>
      <c r="AU197" s="78">
        <v>1.1832941176470588</v>
      </c>
      <c r="AV197" s="64">
        <v>2.1945538461538461</v>
      </c>
      <c r="AX197" s="78"/>
      <c r="AY197" s="13">
        <v>44461</v>
      </c>
    </row>
    <row r="198" spans="1:51" x14ac:dyDescent="0.2">
      <c r="A198" s="9">
        <v>43718</v>
      </c>
      <c r="B198" s="10"/>
      <c r="C198" s="10">
        <v>182</v>
      </c>
      <c r="D198" s="10" t="s">
        <v>20</v>
      </c>
      <c r="E198" s="18">
        <v>2000</v>
      </c>
      <c r="F198" s="18">
        <v>9304</v>
      </c>
      <c r="G198" s="18">
        <v>7300</v>
      </c>
      <c r="H198" s="37">
        <v>7.75</v>
      </c>
      <c r="I198" s="37">
        <v>0</v>
      </c>
      <c r="J198" s="12">
        <f t="array" ref="J19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43900</v>
      </c>
      <c r="K198" s="59">
        <f>IFERROR(Table13[[#This Row],[Bid Accepted]]*(Table13[[#This Row],[WAYR Current]]%/364*Table13[[#This Row],[Days To Maturity]]),0)</f>
        <v>282.875</v>
      </c>
      <c r="L198" s="41">
        <f>+Table13[[#This Row],[Bid Accepted]]-Table13[[#This Row],[Amount Offered]]</f>
        <v>5300</v>
      </c>
      <c r="M198" s="57" t="str">
        <f>+IF(Table13[[#This Row],[WAYR Last]]&gt;0,IF(Table13[[#This Row],[WAYR Current]]&gt;0,(Table13[[#This Row],[WAYR Current]]-Table13[[#This Row],[WAYR Last]]),""),"")</f>
        <v/>
      </c>
      <c r="N198" s="5"/>
      <c r="P198" s="67"/>
      <c r="Q198" s="67"/>
      <c r="R198" s="67"/>
      <c r="S198" s="67"/>
      <c r="T198" s="67"/>
      <c r="U198" s="5"/>
      <c r="V198" s="5"/>
      <c r="AG198" s="5"/>
      <c r="AH198" s="13">
        <v>44468</v>
      </c>
      <c r="AI198" s="78">
        <v>51500</v>
      </c>
      <c r="AJ198" s="78">
        <v>72434</v>
      </c>
      <c r="AK198" s="78">
        <v>31179</v>
      </c>
      <c r="AL198" s="78">
        <v>20934</v>
      </c>
      <c r="AM198" s="78">
        <v>-20321</v>
      </c>
      <c r="AN198" s="78">
        <v>7.01</v>
      </c>
      <c r="AO198" s="77">
        <v>-0.39458252427184465</v>
      </c>
      <c r="AP198" s="77"/>
      <c r="AQ198" s="5"/>
      <c r="AR198" s="5">
        <v>44832</v>
      </c>
      <c r="AS198" s="78">
        <v>2.7189142857142858</v>
      </c>
      <c r="AT198" s="78">
        <v>1.1449285714285715</v>
      </c>
      <c r="AU198" s="78">
        <v>1.1157272727272727</v>
      </c>
      <c r="AV198" s="64">
        <v>1.7854823529411765</v>
      </c>
      <c r="AX198" s="78"/>
      <c r="AY198" s="13">
        <v>44468</v>
      </c>
    </row>
    <row r="199" spans="1:51" x14ac:dyDescent="0.2">
      <c r="A199" s="9">
        <v>43718</v>
      </c>
      <c r="B199" s="10"/>
      <c r="C199" s="10">
        <v>364</v>
      </c>
      <c r="D199" s="10" t="s">
        <v>20</v>
      </c>
      <c r="E199" s="18">
        <v>19000</v>
      </c>
      <c r="F199" s="18">
        <v>33250</v>
      </c>
      <c r="G199" s="18">
        <v>12108</v>
      </c>
      <c r="H199" s="37">
        <v>8.36</v>
      </c>
      <c r="I199" s="37">
        <v>8.33</v>
      </c>
      <c r="J199" s="12">
        <f t="array" ref="J19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44084</v>
      </c>
      <c r="K199" s="59">
        <f>IFERROR(Table13[[#This Row],[Bid Accepted]]*(Table13[[#This Row],[WAYR Current]]%/364*Table13[[#This Row],[Days To Maturity]]),0)</f>
        <v>1012.2288</v>
      </c>
      <c r="L199" s="41">
        <f>+Table13[[#This Row],[Bid Accepted]]-Table13[[#This Row],[Amount Offered]]</f>
        <v>-6892</v>
      </c>
      <c r="M199" s="57">
        <f>+IF(Table13[[#This Row],[WAYR Last]]&gt;0,IF(Table13[[#This Row],[WAYR Current]]&gt;0,(Table13[[#This Row],[WAYR Current]]-Table13[[#This Row],[WAYR Last]]),""),"")</f>
        <v>2.9999999999999361E-2</v>
      </c>
      <c r="N199" s="5"/>
      <c r="P199" s="67"/>
      <c r="Q199" s="67"/>
      <c r="R199" s="67"/>
      <c r="S199" s="67"/>
      <c r="T199" s="67"/>
      <c r="U199" s="5"/>
      <c r="V199" s="5"/>
      <c r="AG199" s="5"/>
      <c r="AH199" s="13">
        <v>44475</v>
      </c>
      <c r="AI199" s="78">
        <v>65700</v>
      </c>
      <c r="AJ199" s="78">
        <v>105065</v>
      </c>
      <c r="AK199" s="78">
        <v>47438</v>
      </c>
      <c r="AL199" s="78">
        <v>39365</v>
      </c>
      <c r="AM199" s="78">
        <v>-18262</v>
      </c>
      <c r="AN199" s="78">
        <v>7.28</v>
      </c>
      <c r="AO199" s="77">
        <v>-0.27796042617960426</v>
      </c>
      <c r="AP199" s="77"/>
      <c r="AQ199" s="5"/>
      <c r="AR199" s="5">
        <v>44839</v>
      </c>
      <c r="AS199" s="78">
        <v>2.8864999999999998</v>
      </c>
      <c r="AT199" s="78">
        <v>1.0417666666666667</v>
      </c>
      <c r="AU199" s="78">
        <v>1.1033200000000001</v>
      </c>
      <c r="AV199" s="64">
        <v>1.7109529411764706</v>
      </c>
      <c r="AX199" s="78"/>
      <c r="AY199" s="13">
        <v>44475</v>
      </c>
    </row>
    <row r="200" spans="1:51" x14ac:dyDescent="0.2">
      <c r="A200" s="9">
        <v>43726</v>
      </c>
      <c r="B200" s="10"/>
      <c r="C200" s="10">
        <v>91</v>
      </c>
      <c r="D200" s="10" t="s">
        <v>20</v>
      </c>
      <c r="E200" s="18">
        <v>2000</v>
      </c>
      <c r="F200" s="18">
        <v>6100</v>
      </c>
      <c r="G200" s="18">
        <v>0</v>
      </c>
      <c r="H200" s="37">
        <v>0</v>
      </c>
      <c r="I200" s="37">
        <v>7.61</v>
      </c>
      <c r="J200" s="12">
        <f t="array" ref="J20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43817</v>
      </c>
      <c r="K200" s="59">
        <f>IFERROR(Table13[[#This Row],[Bid Accepted]]*(Table13[[#This Row],[WAYR Current]]%/364*Table13[[#This Row],[Days To Maturity]]),0)</f>
        <v>0</v>
      </c>
      <c r="L200" s="41">
        <f>+Table13[[#This Row],[Bid Accepted]]-Table13[[#This Row],[Amount Offered]]</f>
        <v>-2000</v>
      </c>
      <c r="M200" s="57" t="str">
        <f>+IF(Table13[[#This Row],[WAYR Last]]&gt;0,IF(Table13[[#This Row],[WAYR Current]]&gt;0,(Table13[[#This Row],[WAYR Current]]-Table13[[#This Row],[WAYR Last]]),""),"")</f>
        <v/>
      </c>
      <c r="N200" s="5"/>
      <c r="S200" s="67"/>
      <c r="T200" s="67"/>
      <c r="U200" s="5"/>
      <c r="V200" s="5"/>
      <c r="AG200" s="5"/>
      <c r="AH200" s="13">
        <v>44482</v>
      </c>
      <c r="AI200" s="78">
        <v>85000</v>
      </c>
      <c r="AJ200" s="78">
        <v>139085</v>
      </c>
      <c r="AK200" s="78">
        <v>50416</v>
      </c>
      <c r="AL200" s="78">
        <v>54085</v>
      </c>
      <c r="AM200" s="78">
        <v>-34584</v>
      </c>
      <c r="AN200" s="78">
        <v>0</v>
      </c>
      <c r="AO200" s="77">
        <v>-0.4068705882352941</v>
      </c>
      <c r="AP200" s="77"/>
      <c r="AQ200" s="5"/>
      <c r="AR200" s="5">
        <v>44846</v>
      </c>
      <c r="AS200" s="78">
        <v>1.9993749999999999</v>
      </c>
      <c r="AT200" s="78">
        <v>1.0189999999999999</v>
      </c>
      <c r="AU200" s="78">
        <v>1.0192000000000001</v>
      </c>
      <c r="AV200" s="64">
        <v>1.4547777777777777</v>
      </c>
      <c r="AX200" s="78"/>
      <c r="AY200" s="13">
        <v>44482</v>
      </c>
    </row>
    <row r="201" spans="1:51" x14ac:dyDescent="0.2">
      <c r="A201" s="9">
        <v>43726</v>
      </c>
      <c r="B201" s="10"/>
      <c r="C201" s="10">
        <v>182</v>
      </c>
      <c r="D201" s="10" t="s">
        <v>20</v>
      </c>
      <c r="E201" s="18">
        <v>1000</v>
      </c>
      <c r="F201" s="18">
        <v>5104</v>
      </c>
      <c r="G201" s="18">
        <v>0</v>
      </c>
      <c r="H201" s="37">
        <v>0</v>
      </c>
      <c r="I201" s="37">
        <v>7.75</v>
      </c>
      <c r="J201" s="12">
        <f t="array" ref="J20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43908</v>
      </c>
      <c r="K201" s="59">
        <f>IFERROR(Table13[[#This Row],[Bid Accepted]]*(Table13[[#This Row],[WAYR Current]]%/364*Table13[[#This Row],[Days To Maturity]]),0)</f>
        <v>0</v>
      </c>
      <c r="L201" s="41">
        <f>+Table13[[#This Row],[Bid Accepted]]-Table13[[#This Row],[Amount Offered]]</f>
        <v>-1000</v>
      </c>
      <c r="M201" s="57" t="str">
        <f>+IF(Table13[[#This Row],[WAYR Last]]&gt;0,IF(Table13[[#This Row],[WAYR Current]]&gt;0,(Table13[[#This Row],[WAYR Current]]-Table13[[#This Row],[WAYR Last]]),""),"")</f>
        <v/>
      </c>
      <c r="N201" s="5"/>
      <c r="S201" s="67"/>
      <c r="T201" s="67"/>
      <c r="U201" s="5"/>
      <c r="V201" s="5"/>
      <c r="AG201" s="5"/>
      <c r="AH201" s="13">
        <v>44487</v>
      </c>
      <c r="AI201" s="78">
        <v>74500</v>
      </c>
      <c r="AJ201" s="78">
        <v>215183</v>
      </c>
      <c r="AK201" s="78">
        <v>74500</v>
      </c>
      <c r="AL201" s="78">
        <v>140683</v>
      </c>
      <c r="AM201" s="78">
        <v>0</v>
      </c>
      <c r="AN201" s="78">
        <v>8.17</v>
      </c>
      <c r="AO201" s="77">
        <v>0</v>
      </c>
      <c r="AP201" s="77"/>
      <c r="AQ201" s="5"/>
      <c r="AR201" s="5">
        <v>44853</v>
      </c>
      <c r="AS201" s="78">
        <v>2.0922666666666667</v>
      </c>
      <c r="AT201" s="78">
        <v>1.0207999999999999</v>
      </c>
      <c r="AU201" s="78">
        <v>1.0246</v>
      </c>
      <c r="AV201" s="64">
        <v>1.4503999999999999</v>
      </c>
      <c r="AX201" s="78"/>
      <c r="AY201" s="13">
        <v>44487</v>
      </c>
    </row>
    <row r="202" spans="1:51" x14ac:dyDescent="0.2">
      <c r="A202" s="9">
        <v>43726</v>
      </c>
      <c r="B202" s="10"/>
      <c r="C202" s="10">
        <v>364</v>
      </c>
      <c r="D202" s="10" t="s">
        <v>20</v>
      </c>
      <c r="E202" s="18">
        <v>5500</v>
      </c>
      <c r="F202" s="18">
        <v>17458</v>
      </c>
      <c r="G202" s="18">
        <v>8500</v>
      </c>
      <c r="H202" s="37">
        <v>8.41</v>
      </c>
      <c r="I202" s="37">
        <v>8.36</v>
      </c>
      <c r="J202" s="12">
        <f t="array" ref="J20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44092</v>
      </c>
      <c r="K202" s="59">
        <f>IFERROR(Table13[[#This Row],[Bid Accepted]]*(Table13[[#This Row],[WAYR Current]]%/364*Table13[[#This Row],[Days To Maturity]]),0)</f>
        <v>714.85</v>
      </c>
      <c r="L202" s="41">
        <f>+Table13[[#This Row],[Bid Accepted]]-Table13[[#This Row],[Amount Offered]]</f>
        <v>3000</v>
      </c>
      <c r="M202" s="57">
        <f>+IF(Table13[[#This Row],[WAYR Last]]&gt;0,IF(Table13[[#This Row],[WAYR Current]]&gt;0,(Table13[[#This Row],[WAYR Current]]-Table13[[#This Row],[WAYR Last]]),""),"")</f>
        <v>5.0000000000000711E-2</v>
      </c>
      <c r="N202" s="5"/>
      <c r="S202" s="67"/>
      <c r="T202" s="67"/>
      <c r="U202" s="5"/>
      <c r="V202" s="5"/>
      <c r="AG202" s="5"/>
      <c r="AH202" s="13">
        <v>44496</v>
      </c>
      <c r="AI202" s="78">
        <v>56500</v>
      </c>
      <c r="AJ202" s="78">
        <v>215286</v>
      </c>
      <c r="AK202" s="78">
        <v>56500</v>
      </c>
      <c r="AL202" s="78">
        <v>158786</v>
      </c>
      <c r="AM202" s="78">
        <v>0</v>
      </c>
      <c r="AN202" s="78">
        <v>8.18</v>
      </c>
      <c r="AO202" s="77">
        <v>0</v>
      </c>
      <c r="AP202" s="77"/>
      <c r="AQ202" s="5"/>
      <c r="AR202" s="5">
        <v>44921</v>
      </c>
      <c r="AS202" s="78">
        <v>2.9262999999999999</v>
      </c>
      <c r="AT202" s="78">
        <v>1.0632999999999999</v>
      </c>
      <c r="AU202" s="78">
        <v>1.04705</v>
      </c>
      <c r="AV202" s="64">
        <v>1.7578625000000001</v>
      </c>
      <c r="AX202" s="78"/>
      <c r="AY202" s="13">
        <v>44496</v>
      </c>
    </row>
    <row r="203" spans="1:51" x14ac:dyDescent="0.2">
      <c r="A203" s="9">
        <v>43733</v>
      </c>
      <c r="B203" s="10"/>
      <c r="C203" s="10">
        <v>91</v>
      </c>
      <c r="D203" s="10" t="s">
        <v>20</v>
      </c>
      <c r="E203" s="18">
        <v>5000</v>
      </c>
      <c r="F203" s="18">
        <v>14247</v>
      </c>
      <c r="G203" s="18">
        <v>7848</v>
      </c>
      <c r="H203" s="37">
        <v>7.62</v>
      </c>
      <c r="I203" s="37">
        <v>0</v>
      </c>
      <c r="J203" s="12">
        <f t="array" ref="J20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43824</v>
      </c>
      <c r="K203" s="59">
        <f>IFERROR(Table13[[#This Row],[Bid Accepted]]*(Table13[[#This Row],[WAYR Current]]%/364*Table13[[#This Row],[Days To Maturity]]),0)</f>
        <v>149.5044</v>
      </c>
      <c r="L203" s="41">
        <f>+Table13[[#This Row],[Bid Accepted]]-Table13[[#This Row],[Amount Offered]]</f>
        <v>2848</v>
      </c>
      <c r="M203" s="57" t="str">
        <f>+IF(Table13[[#This Row],[WAYR Last]]&gt;0,IF(Table13[[#This Row],[WAYR Current]]&gt;0,(Table13[[#This Row],[WAYR Current]]-Table13[[#This Row],[WAYR Last]]),""),"")</f>
        <v/>
      </c>
      <c r="N203" s="5"/>
      <c r="S203" s="67"/>
      <c r="T203" s="67"/>
      <c r="U203" s="5"/>
      <c r="V203" s="5"/>
      <c r="AG203" s="5"/>
      <c r="AH203" s="13">
        <v>44502</v>
      </c>
      <c r="AI203" s="78">
        <v>66000</v>
      </c>
      <c r="AJ203" s="78">
        <v>235323</v>
      </c>
      <c r="AK203" s="78">
        <v>66000</v>
      </c>
      <c r="AL203" s="78">
        <v>169323</v>
      </c>
      <c r="AM203" s="78">
        <v>0</v>
      </c>
      <c r="AN203" s="78">
        <v>8.26</v>
      </c>
      <c r="AO203" s="77">
        <v>0</v>
      </c>
      <c r="AP203" s="77"/>
      <c r="AQ203" s="5"/>
      <c r="AR203" s="5">
        <v>44867</v>
      </c>
      <c r="AS203" s="78">
        <v>3.4716857142857145</v>
      </c>
      <c r="AT203" s="78">
        <v>1.0577333333333334</v>
      </c>
      <c r="AU203" s="78">
        <v>1.02376</v>
      </c>
      <c r="AV203" s="64">
        <v>1.9870555555555556</v>
      </c>
      <c r="AX203" s="78"/>
      <c r="AY203" s="13">
        <v>44502</v>
      </c>
    </row>
    <row r="204" spans="1:51" x14ac:dyDescent="0.2">
      <c r="A204" s="9">
        <v>43733</v>
      </c>
      <c r="B204" s="10"/>
      <c r="C204" s="10">
        <v>182</v>
      </c>
      <c r="D204" s="10" t="s">
        <v>20</v>
      </c>
      <c r="E204" s="18">
        <v>3000</v>
      </c>
      <c r="F204" s="18">
        <v>9200</v>
      </c>
      <c r="G204" s="18">
        <v>5144</v>
      </c>
      <c r="H204" s="37">
        <v>7.75</v>
      </c>
      <c r="I204" s="37">
        <v>0</v>
      </c>
      <c r="J204" s="12">
        <f t="array" ref="J20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43915</v>
      </c>
      <c r="K204" s="59">
        <f>IFERROR(Table13[[#This Row],[Bid Accepted]]*(Table13[[#This Row],[WAYR Current]]%/364*Table13[[#This Row],[Days To Maturity]]),0)</f>
        <v>199.33</v>
      </c>
      <c r="L204" s="41">
        <f>+Table13[[#This Row],[Bid Accepted]]-Table13[[#This Row],[Amount Offered]]</f>
        <v>2144</v>
      </c>
      <c r="M204" s="57" t="str">
        <f>+IF(Table13[[#This Row],[WAYR Last]]&gt;0,IF(Table13[[#This Row],[WAYR Current]]&gt;0,(Table13[[#This Row],[WAYR Current]]-Table13[[#This Row],[WAYR Last]]),""),"")</f>
        <v/>
      </c>
      <c r="N204" s="5"/>
      <c r="S204" s="67"/>
      <c r="T204" s="67"/>
      <c r="U204" s="5"/>
      <c r="V204" s="5"/>
      <c r="AG204" s="5"/>
      <c r="AH204" s="13">
        <v>44510</v>
      </c>
      <c r="AI204" s="78">
        <v>52000</v>
      </c>
      <c r="AJ204" s="78">
        <v>200362</v>
      </c>
      <c r="AK204" s="78">
        <v>52000</v>
      </c>
      <c r="AL204" s="78">
        <v>148362</v>
      </c>
      <c r="AM204" s="78">
        <v>0</v>
      </c>
      <c r="AN204" s="78">
        <v>8.19</v>
      </c>
      <c r="AO204" s="77">
        <v>0</v>
      </c>
      <c r="AP204" s="77"/>
      <c r="AQ204" s="5"/>
      <c r="AR204" s="5"/>
      <c r="AU204" s="78"/>
      <c r="AV204" s="64"/>
      <c r="AX204" s="78"/>
      <c r="AY204" s="13">
        <v>44510</v>
      </c>
    </row>
    <row r="205" spans="1:51" x14ac:dyDescent="0.2">
      <c r="A205" s="9">
        <v>43733</v>
      </c>
      <c r="B205" s="10"/>
      <c r="C205" s="10">
        <v>364</v>
      </c>
      <c r="D205" s="10" t="s">
        <v>20</v>
      </c>
      <c r="E205" s="18">
        <v>12000</v>
      </c>
      <c r="F205" s="18">
        <v>26202</v>
      </c>
      <c r="G205" s="18">
        <v>7008</v>
      </c>
      <c r="H205" s="37">
        <v>8.41</v>
      </c>
      <c r="I205" s="37">
        <v>8.41</v>
      </c>
      <c r="J205" s="12">
        <f t="array" ref="J20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44099</v>
      </c>
      <c r="K205" s="59">
        <f>IFERROR(Table13[[#This Row],[Bid Accepted]]*(Table13[[#This Row],[WAYR Current]]%/364*Table13[[#This Row],[Days To Maturity]]),0)</f>
        <v>589.3728000000001</v>
      </c>
      <c r="L205" s="41">
        <f>+Table13[[#This Row],[Bid Accepted]]-Table13[[#This Row],[Amount Offered]]</f>
        <v>-4992</v>
      </c>
      <c r="M205" s="57">
        <f>+IF(Table13[[#This Row],[WAYR Last]]&gt;0,IF(Table13[[#This Row],[WAYR Current]]&gt;0,(Table13[[#This Row],[WAYR Current]]-Table13[[#This Row],[WAYR Last]]),""),"")</f>
        <v>0</v>
      </c>
      <c r="N205" s="5"/>
      <c r="S205" s="67"/>
      <c r="T205" s="67"/>
      <c r="U205" s="5"/>
      <c r="V205" s="5"/>
      <c r="AG205" s="5"/>
      <c r="AH205" s="13">
        <v>44516</v>
      </c>
      <c r="AI205" s="78">
        <v>53000</v>
      </c>
      <c r="AJ205" s="78">
        <v>179556</v>
      </c>
      <c r="AK205" s="78">
        <v>53000</v>
      </c>
      <c r="AL205" s="78">
        <v>126556</v>
      </c>
      <c r="AM205" s="78">
        <v>0</v>
      </c>
      <c r="AN205" s="78">
        <v>8.17</v>
      </c>
      <c r="AO205" s="77">
        <v>0</v>
      </c>
      <c r="AP205" s="77"/>
      <c r="AQ205" s="5"/>
      <c r="AR205" s="5"/>
      <c r="AU205" s="78"/>
      <c r="AV205" s="64"/>
      <c r="AX205" s="78"/>
      <c r="AY205" s="13">
        <v>44516</v>
      </c>
    </row>
    <row r="206" spans="1:51" x14ac:dyDescent="0.2">
      <c r="A206" s="9">
        <v>43740</v>
      </c>
      <c r="B206" s="10"/>
      <c r="C206" s="10">
        <v>91</v>
      </c>
      <c r="D206" s="10" t="s">
        <v>20</v>
      </c>
      <c r="E206" s="18">
        <v>2500</v>
      </c>
      <c r="F206" s="18">
        <v>9500</v>
      </c>
      <c r="G206" s="18">
        <v>4000</v>
      </c>
      <c r="H206" s="37">
        <v>7.6</v>
      </c>
      <c r="I206" s="37">
        <v>7.62</v>
      </c>
      <c r="J206" s="12">
        <f t="array" ref="J20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43832</v>
      </c>
      <c r="K206" s="59">
        <f>IFERROR(Table13[[#This Row],[Bid Accepted]]*(Table13[[#This Row],[WAYR Current]]%/364*Table13[[#This Row],[Days To Maturity]]),0)</f>
        <v>76</v>
      </c>
      <c r="L206" s="41">
        <f>+Table13[[#This Row],[Bid Accepted]]-Table13[[#This Row],[Amount Offered]]</f>
        <v>1500</v>
      </c>
      <c r="M206" s="57">
        <f>+IF(Table13[[#This Row],[WAYR Last]]&gt;0,IF(Table13[[#This Row],[WAYR Current]]&gt;0,(Table13[[#This Row],[WAYR Current]]-Table13[[#This Row],[WAYR Last]]),""),"")</f>
        <v>-2.0000000000000462E-2</v>
      </c>
      <c r="N206" s="5"/>
      <c r="S206" s="67"/>
      <c r="T206" s="67"/>
      <c r="U206" s="5"/>
      <c r="V206" s="5"/>
      <c r="AG206" s="5"/>
      <c r="AH206" s="13">
        <v>44524</v>
      </c>
      <c r="AI206" s="78">
        <v>61000</v>
      </c>
      <c r="AJ206" s="78">
        <v>168167</v>
      </c>
      <c r="AK206" s="78">
        <v>61000</v>
      </c>
      <c r="AL206" s="78">
        <v>107167</v>
      </c>
      <c r="AM206" s="78">
        <v>0</v>
      </c>
      <c r="AN206" s="78">
        <v>8.16</v>
      </c>
      <c r="AO206" s="77">
        <v>0</v>
      </c>
      <c r="AP206" s="77"/>
      <c r="AQ206" s="5"/>
      <c r="AR206" s="5"/>
      <c r="AU206" s="78"/>
      <c r="AV206" s="64"/>
      <c r="AX206" s="78"/>
      <c r="AY206" s="13">
        <v>44524</v>
      </c>
    </row>
    <row r="207" spans="1:51" x14ac:dyDescent="0.2">
      <c r="A207" s="9">
        <v>43740</v>
      </c>
      <c r="B207" s="10"/>
      <c r="C207" s="10">
        <v>182</v>
      </c>
      <c r="D207" s="10" t="s">
        <v>20</v>
      </c>
      <c r="E207" s="18">
        <v>1000</v>
      </c>
      <c r="F207" s="18">
        <v>5104</v>
      </c>
      <c r="G207" s="18">
        <v>2483</v>
      </c>
      <c r="H207" s="37">
        <v>7.73</v>
      </c>
      <c r="I207" s="37">
        <v>7.75</v>
      </c>
      <c r="J207" s="12">
        <f t="array" ref="J20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43923</v>
      </c>
      <c r="K207" s="59">
        <f>IFERROR(Table13[[#This Row],[Bid Accepted]]*(Table13[[#This Row],[WAYR Current]]%/364*Table13[[#This Row],[Days To Maturity]]),0)</f>
        <v>95.967950000000016</v>
      </c>
      <c r="L207" s="41">
        <f>+Table13[[#This Row],[Bid Accepted]]-Table13[[#This Row],[Amount Offered]]</f>
        <v>1483</v>
      </c>
      <c r="M207" s="57">
        <f>+IF(Table13[[#This Row],[WAYR Last]]&gt;0,IF(Table13[[#This Row],[WAYR Current]]&gt;0,(Table13[[#This Row],[WAYR Current]]-Table13[[#This Row],[WAYR Last]]),""),"")</f>
        <v>-1.9999999999999574E-2</v>
      </c>
      <c r="N207" s="5"/>
      <c r="S207" s="67"/>
      <c r="T207" s="67"/>
      <c r="U207" s="5"/>
      <c r="V207" s="5"/>
      <c r="AG207" s="5"/>
      <c r="AH207" s="13">
        <v>44531</v>
      </c>
      <c r="AI207" s="78">
        <v>60000</v>
      </c>
      <c r="AJ207" s="78">
        <v>161164</v>
      </c>
      <c r="AK207" s="78">
        <v>60000</v>
      </c>
      <c r="AL207" s="78">
        <v>101164</v>
      </c>
      <c r="AM207" s="78">
        <v>0</v>
      </c>
      <c r="AN207" s="78">
        <v>8.1199999999999992</v>
      </c>
      <c r="AO207" s="77">
        <v>0</v>
      </c>
      <c r="AP207" s="77"/>
      <c r="AQ207" s="5"/>
      <c r="AR207" s="5"/>
      <c r="AU207" s="78"/>
      <c r="AV207" s="64"/>
      <c r="AX207" s="78"/>
      <c r="AY207" s="13">
        <v>44531</v>
      </c>
    </row>
    <row r="208" spans="1:51" x14ac:dyDescent="0.2">
      <c r="A208" s="9">
        <v>43740</v>
      </c>
      <c r="B208" s="10"/>
      <c r="C208" s="10">
        <v>364</v>
      </c>
      <c r="D208" s="10" t="s">
        <v>20</v>
      </c>
      <c r="E208" s="18">
        <v>8500</v>
      </c>
      <c r="F208" s="18">
        <v>24314</v>
      </c>
      <c r="G208" s="18">
        <v>5517</v>
      </c>
      <c r="H208" s="37">
        <v>8.41</v>
      </c>
      <c r="I208" s="37">
        <v>8.41</v>
      </c>
      <c r="J208" s="12">
        <f t="array" ref="J20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44106</v>
      </c>
      <c r="K208" s="59">
        <f>IFERROR(Table13[[#This Row],[Bid Accepted]]*(Table13[[#This Row],[WAYR Current]]%/364*Table13[[#This Row],[Days To Maturity]]),0)</f>
        <v>463.97970000000004</v>
      </c>
      <c r="L208" s="41">
        <f>+Table13[[#This Row],[Bid Accepted]]-Table13[[#This Row],[Amount Offered]]</f>
        <v>-2983</v>
      </c>
      <c r="M208" s="57">
        <f>+IF(Table13[[#This Row],[WAYR Last]]&gt;0,IF(Table13[[#This Row],[WAYR Current]]&gt;0,(Table13[[#This Row],[WAYR Current]]-Table13[[#This Row],[WAYR Last]]),""),"")</f>
        <v>0</v>
      </c>
      <c r="N208" s="5"/>
      <c r="S208" s="67"/>
      <c r="T208" s="67"/>
      <c r="U208" s="5"/>
      <c r="V208" s="5"/>
      <c r="AG208" s="5"/>
      <c r="AH208" s="13">
        <v>44552</v>
      </c>
      <c r="AI208" s="78">
        <v>47500</v>
      </c>
      <c r="AJ208" s="78">
        <v>83700</v>
      </c>
      <c r="AK208" s="78">
        <v>40118</v>
      </c>
      <c r="AL208" s="78">
        <v>36200</v>
      </c>
      <c r="AM208" s="78">
        <v>-7382</v>
      </c>
      <c r="AN208" s="78">
        <v>8.02</v>
      </c>
      <c r="AO208" s="77">
        <v>-0.15541052631578947</v>
      </c>
      <c r="AP208" s="77"/>
      <c r="AQ208" s="5"/>
      <c r="AR208" s="5"/>
      <c r="AU208" s="78"/>
      <c r="AV208" s="64"/>
      <c r="AX208" s="78"/>
      <c r="AY208" s="13">
        <v>44552</v>
      </c>
    </row>
    <row r="209" spans="1:51" x14ac:dyDescent="0.2">
      <c r="A209" s="9">
        <v>43747</v>
      </c>
      <c r="B209" s="10"/>
      <c r="C209" s="10">
        <v>91</v>
      </c>
      <c r="D209" s="10" t="s">
        <v>20</v>
      </c>
      <c r="E209" s="18">
        <v>1500</v>
      </c>
      <c r="F209" s="18">
        <v>5500</v>
      </c>
      <c r="G209" s="18">
        <v>1500</v>
      </c>
      <c r="H209" s="37">
        <v>7.58</v>
      </c>
      <c r="I209" s="37">
        <v>7.6</v>
      </c>
      <c r="J209" s="12">
        <f t="array" ref="J20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43839</v>
      </c>
      <c r="K209" s="59">
        <f>IFERROR(Table13[[#This Row],[Bid Accepted]]*(Table13[[#This Row],[WAYR Current]]%/364*Table13[[#This Row],[Days To Maturity]]),0)</f>
        <v>28.425000000000001</v>
      </c>
      <c r="L209" s="41">
        <f>+Table13[[#This Row],[Bid Accepted]]-Table13[[#This Row],[Amount Offered]]</f>
        <v>0</v>
      </c>
      <c r="M209" s="57">
        <f>+IF(Table13[[#This Row],[WAYR Last]]&gt;0,IF(Table13[[#This Row],[WAYR Current]]&gt;0,(Table13[[#This Row],[WAYR Current]]-Table13[[#This Row],[WAYR Last]]),""),"")</f>
        <v>-1.9999999999999574E-2</v>
      </c>
      <c r="N209" s="5"/>
      <c r="S209" s="67"/>
      <c r="T209" s="67"/>
      <c r="U209" s="5"/>
      <c r="V209" s="5"/>
      <c r="AG209" s="5"/>
      <c r="AH209" s="13">
        <v>44559</v>
      </c>
      <c r="AI209" s="78">
        <v>48500</v>
      </c>
      <c r="AJ209" s="78">
        <v>83700</v>
      </c>
      <c r="AK209" s="78">
        <v>33566</v>
      </c>
      <c r="AL209" s="78">
        <v>35200</v>
      </c>
      <c r="AM209" s="78">
        <v>-14934</v>
      </c>
      <c r="AN209" s="78">
        <v>8.24</v>
      </c>
      <c r="AO209" s="77">
        <v>-0.30791752577319587</v>
      </c>
      <c r="AP209" s="77"/>
      <c r="AQ209" s="5"/>
      <c r="AR209" s="5"/>
      <c r="AU209" s="78"/>
      <c r="AV209" s="64"/>
      <c r="AX209" s="78"/>
      <c r="AY209" s="13">
        <v>44559</v>
      </c>
    </row>
    <row r="210" spans="1:51" x14ac:dyDescent="0.2">
      <c r="A210" s="9">
        <v>43747</v>
      </c>
      <c r="B210" s="10"/>
      <c r="C210" s="10">
        <v>182</v>
      </c>
      <c r="D210" s="10" t="s">
        <v>20</v>
      </c>
      <c r="E210" s="18">
        <v>8000</v>
      </c>
      <c r="F210" s="18">
        <v>16052</v>
      </c>
      <c r="G210" s="18">
        <v>8000</v>
      </c>
      <c r="H210" s="37">
        <v>7.73</v>
      </c>
      <c r="I210" s="37">
        <v>7.73</v>
      </c>
      <c r="J210" s="12">
        <f t="array" ref="J21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43930</v>
      </c>
      <c r="K210" s="59">
        <f>IFERROR(Table13[[#This Row],[Bid Accepted]]*(Table13[[#This Row],[WAYR Current]]%/364*Table13[[#This Row],[Days To Maturity]]),0)</f>
        <v>309.20000000000005</v>
      </c>
      <c r="L210" s="41">
        <f>+Table13[[#This Row],[Bid Accepted]]-Table13[[#This Row],[Amount Offered]]</f>
        <v>0</v>
      </c>
      <c r="M210" s="57">
        <f>+IF(Table13[[#This Row],[WAYR Last]]&gt;0,IF(Table13[[#This Row],[WAYR Current]]&gt;0,(Table13[[#This Row],[WAYR Current]]-Table13[[#This Row],[WAYR Last]]),""),"")</f>
        <v>0</v>
      </c>
      <c r="N210" s="5"/>
      <c r="S210" s="67"/>
      <c r="T210" s="67"/>
      <c r="U210" s="5"/>
      <c r="V210" s="5"/>
      <c r="AG210" s="5"/>
      <c r="AH210" s="13">
        <v>44566</v>
      </c>
      <c r="AI210" s="78">
        <v>74500</v>
      </c>
      <c r="AJ210" s="78">
        <v>163562</v>
      </c>
      <c r="AK210" s="78">
        <v>74500</v>
      </c>
      <c r="AL210" s="78">
        <v>89062</v>
      </c>
      <c r="AM210" s="78">
        <v>0</v>
      </c>
      <c r="AN210" s="78">
        <v>8.39</v>
      </c>
      <c r="AO210" s="77">
        <v>0</v>
      </c>
      <c r="AP210" s="77"/>
      <c r="AQ210" s="5"/>
      <c r="AR210" s="5"/>
      <c r="AU210" s="78"/>
      <c r="AV210" s="64"/>
      <c r="AX210" s="78"/>
      <c r="AY210" s="13">
        <v>44566</v>
      </c>
    </row>
    <row r="211" spans="1:51" x14ac:dyDescent="0.2">
      <c r="A211" s="9">
        <v>43747</v>
      </c>
      <c r="B211" s="5"/>
      <c r="C211" s="5">
        <v>364</v>
      </c>
      <c r="D211" s="10" t="s">
        <v>20</v>
      </c>
      <c r="E211" s="14">
        <v>12000</v>
      </c>
      <c r="F211" s="14">
        <v>28415</v>
      </c>
      <c r="G211" s="14">
        <v>12000</v>
      </c>
      <c r="H211" s="33">
        <v>8.41</v>
      </c>
      <c r="I211" s="33">
        <v>8.41</v>
      </c>
      <c r="J211" s="12">
        <f t="array" ref="J21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44113</v>
      </c>
      <c r="K211" s="59">
        <f>IFERROR(Table13[[#This Row],[Bid Accepted]]*(Table13[[#This Row],[WAYR Current]]%/364*Table13[[#This Row],[Days To Maturity]]),0)</f>
        <v>1009.2</v>
      </c>
      <c r="L211" s="41">
        <f>+Table13[[#This Row],[Bid Accepted]]-Table13[[#This Row],[Amount Offered]]</f>
        <v>0</v>
      </c>
      <c r="M211" s="57">
        <f>+IF(Table13[[#This Row],[WAYR Last]]&gt;0,IF(Table13[[#This Row],[WAYR Current]]&gt;0,(Table13[[#This Row],[WAYR Current]]-Table13[[#This Row],[WAYR Last]]),""),"")</f>
        <v>0</v>
      </c>
      <c r="N211" s="5"/>
      <c r="S211" s="67"/>
      <c r="T211" s="67"/>
      <c r="U211" s="5"/>
      <c r="V211" s="5"/>
      <c r="AG211" s="5"/>
      <c r="AH211" s="13">
        <v>44573</v>
      </c>
      <c r="AI211" s="78">
        <v>81000</v>
      </c>
      <c r="AJ211" s="78">
        <v>211167</v>
      </c>
      <c r="AK211" s="78">
        <v>81000</v>
      </c>
      <c r="AL211" s="78">
        <v>130167</v>
      </c>
      <c r="AM211" s="78">
        <v>0</v>
      </c>
      <c r="AN211" s="78">
        <v>8.44</v>
      </c>
      <c r="AO211" s="77">
        <v>0</v>
      </c>
      <c r="AP211" s="77"/>
      <c r="AQ211" s="5"/>
      <c r="AR211" s="5"/>
      <c r="AU211" s="78"/>
      <c r="AV211" s="64"/>
      <c r="AX211" s="78"/>
      <c r="AY211" s="13">
        <v>44573</v>
      </c>
    </row>
    <row r="212" spans="1:51" x14ac:dyDescent="0.2">
      <c r="A212" s="9">
        <v>43754</v>
      </c>
      <c r="B212" s="10"/>
      <c r="C212" s="10">
        <v>91</v>
      </c>
      <c r="D212" s="10" t="s">
        <v>20</v>
      </c>
      <c r="E212" s="18">
        <v>3000</v>
      </c>
      <c r="F212" s="18">
        <v>5500</v>
      </c>
      <c r="G212" s="18">
        <v>2250</v>
      </c>
      <c r="H212" s="37">
        <v>7.56</v>
      </c>
      <c r="I212" s="37">
        <v>7.58</v>
      </c>
      <c r="J212" s="12">
        <f t="array" ref="J21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43846</v>
      </c>
      <c r="K212" s="59">
        <f>IFERROR(Table13[[#This Row],[Bid Accepted]]*(Table13[[#This Row],[WAYR Current]]%/364*Table13[[#This Row],[Days To Maturity]]),0)</f>
        <v>42.524999999999999</v>
      </c>
      <c r="L212" s="41">
        <f>+Table13[[#This Row],[Bid Accepted]]-Table13[[#This Row],[Amount Offered]]</f>
        <v>-750</v>
      </c>
      <c r="M212" s="57">
        <f>+IF(Table13[[#This Row],[WAYR Last]]&gt;0,IF(Table13[[#This Row],[WAYR Current]]&gt;0,(Table13[[#This Row],[WAYR Current]]-Table13[[#This Row],[WAYR Last]]),""),"")</f>
        <v>-2.0000000000000462E-2</v>
      </c>
      <c r="N212" s="5"/>
      <c r="S212" s="67"/>
      <c r="T212" s="67"/>
      <c r="U212" s="5"/>
      <c r="V212" s="5"/>
      <c r="AG212" s="5"/>
      <c r="AH212" s="13">
        <v>44580</v>
      </c>
      <c r="AI212" s="78">
        <v>97000</v>
      </c>
      <c r="AJ212" s="78">
        <v>209946</v>
      </c>
      <c r="AK212" s="78">
        <v>97000</v>
      </c>
      <c r="AL212" s="78">
        <v>112946</v>
      </c>
      <c r="AM212" s="78">
        <v>0</v>
      </c>
      <c r="AN212" s="78">
        <v>8.48</v>
      </c>
      <c r="AO212" s="77">
        <v>0</v>
      </c>
      <c r="AP212" s="77"/>
      <c r="AQ212" s="5"/>
      <c r="AR212" s="5"/>
      <c r="AU212" s="78"/>
      <c r="AV212" s="64"/>
      <c r="AX212" s="78"/>
      <c r="AY212" s="13">
        <v>44580</v>
      </c>
    </row>
    <row r="213" spans="1:51" x14ac:dyDescent="0.2">
      <c r="A213" s="9">
        <v>43754</v>
      </c>
      <c r="B213" s="5"/>
      <c r="C213" s="10">
        <v>182</v>
      </c>
      <c r="D213" s="10" t="s">
        <v>20</v>
      </c>
      <c r="E213" s="14">
        <v>6500</v>
      </c>
      <c r="F213" s="14">
        <v>15058</v>
      </c>
      <c r="G213" s="14">
        <v>3825</v>
      </c>
      <c r="H213" s="33">
        <v>7.69</v>
      </c>
      <c r="I213" s="33">
        <v>7.73</v>
      </c>
      <c r="J213" s="12">
        <f t="array" ref="J21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43937</v>
      </c>
      <c r="K213" s="59">
        <f>IFERROR(Table13[[#This Row],[Bid Accepted]]*(Table13[[#This Row],[WAYR Current]]%/364*Table13[[#This Row],[Days To Maturity]]),0)</f>
        <v>147.07125000000002</v>
      </c>
      <c r="L213" s="41">
        <f>+Table13[[#This Row],[Bid Accepted]]-Table13[[#This Row],[Amount Offered]]</f>
        <v>-2675</v>
      </c>
      <c r="M213" s="57">
        <f>+IF(Table13[[#This Row],[WAYR Last]]&gt;0,IF(Table13[[#This Row],[WAYR Current]]&gt;0,(Table13[[#This Row],[WAYR Current]]-Table13[[#This Row],[WAYR Last]]),""),"")</f>
        <v>-4.0000000000000036E-2</v>
      </c>
      <c r="N213" s="5"/>
      <c r="S213" s="67"/>
      <c r="T213" s="67"/>
      <c r="U213" s="5"/>
      <c r="V213" s="5"/>
      <c r="AG213" s="5"/>
      <c r="AH213" s="13">
        <v>44587</v>
      </c>
      <c r="AI213" s="78">
        <v>80500</v>
      </c>
      <c r="AJ213" s="78">
        <v>194441</v>
      </c>
      <c r="AK213" s="78">
        <v>80500</v>
      </c>
      <c r="AL213" s="78">
        <v>113941</v>
      </c>
      <c r="AM213" s="78">
        <v>0</v>
      </c>
      <c r="AN213" s="78">
        <v>8.5500000000000007</v>
      </c>
      <c r="AO213" s="77">
        <v>0</v>
      </c>
      <c r="AP213" s="77"/>
      <c r="AQ213" s="5"/>
      <c r="AR213" s="5"/>
      <c r="AU213" s="78"/>
      <c r="AV213" s="64"/>
      <c r="AX213" s="78"/>
      <c r="AY213" s="13">
        <v>44587</v>
      </c>
    </row>
    <row r="214" spans="1:51" x14ac:dyDescent="0.2">
      <c r="A214" s="9">
        <v>43754</v>
      </c>
      <c r="B214" s="5"/>
      <c r="C214" s="5">
        <v>364</v>
      </c>
      <c r="D214" s="10" t="s">
        <v>20</v>
      </c>
      <c r="E214" s="14">
        <v>12500</v>
      </c>
      <c r="F214" s="14">
        <v>36352</v>
      </c>
      <c r="G214" s="14">
        <v>15925</v>
      </c>
      <c r="H214" s="33">
        <v>8.35</v>
      </c>
      <c r="I214" s="33">
        <v>8.41</v>
      </c>
      <c r="J214" s="12">
        <f t="array" ref="J21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44120</v>
      </c>
      <c r="K214" s="59">
        <f>IFERROR(Table13[[#This Row],[Bid Accepted]]*(Table13[[#This Row],[WAYR Current]]%/364*Table13[[#This Row],[Days To Maturity]]),0)</f>
        <v>1329.7375</v>
      </c>
      <c r="L214" s="41">
        <f>+Table13[[#This Row],[Bid Accepted]]-Table13[[#This Row],[Amount Offered]]</f>
        <v>3425</v>
      </c>
      <c r="M214" s="57">
        <f>+IF(Table13[[#This Row],[WAYR Last]]&gt;0,IF(Table13[[#This Row],[WAYR Current]]&gt;0,(Table13[[#This Row],[WAYR Current]]-Table13[[#This Row],[WAYR Last]]),""),"")</f>
        <v>-6.0000000000000497E-2</v>
      </c>
      <c r="N214" s="5"/>
      <c r="S214" s="67"/>
      <c r="T214" s="67"/>
      <c r="U214" s="5"/>
      <c r="V214" s="5"/>
      <c r="AG214" s="5"/>
      <c r="AH214" s="13">
        <v>44594</v>
      </c>
      <c r="AI214" s="78">
        <v>88500</v>
      </c>
      <c r="AJ214" s="78">
        <v>234713</v>
      </c>
      <c r="AK214" s="78">
        <v>88500</v>
      </c>
      <c r="AL214" s="78">
        <v>146213</v>
      </c>
      <c r="AM214" s="78">
        <v>0</v>
      </c>
      <c r="AN214" s="78">
        <v>0</v>
      </c>
      <c r="AO214" s="77">
        <v>0</v>
      </c>
      <c r="AP214" s="77"/>
      <c r="AQ214" s="5"/>
      <c r="AR214" s="5"/>
      <c r="AU214" s="78"/>
      <c r="AV214" s="64"/>
      <c r="AX214" s="78"/>
      <c r="AY214" s="13">
        <v>44594</v>
      </c>
    </row>
    <row r="215" spans="1:51" x14ac:dyDescent="0.2">
      <c r="A215" s="9">
        <v>43761</v>
      </c>
      <c r="B215" s="10"/>
      <c r="C215" s="10">
        <v>91</v>
      </c>
      <c r="D215" s="10" t="s">
        <v>20</v>
      </c>
      <c r="E215" s="18">
        <v>1000</v>
      </c>
      <c r="F215" s="18">
        <v>6301</v>
      </c>
      <c r="G215" s="18">
        <v>1000</v>
      </c>
      <c r="H215" s="37">
        <v>7.5</v>
      </c>
      <c r="I215" s="37">
        <v>8.35</v>
      </c>
      <c r="J215" s="12">
        <f t="array" ref="J21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43853</v>
      </c>
      <c r="K215" s="59">
        <f>IFERROR(Table13[[#This Row],[Bid Accepted]]*(Table13[[#This Row],[WAYR Current]]%/364*Table13[[#This Row],[Days To Maturity]]),0)</f>
        <v>18.75</v>
      </c>
      <c r="L215" s="41">
        <f>+Table13[[#This Row],[Bid Accepted]]-Table13[[#This Row],[Amount Offered]]</f>
        <v>0</v>
      </c>
      <c r="M215" s="57">
        <f>+IF(Table13[[#This Row],[WAYR Last]]&gt;0,IF(Table13[[#This Row],[WAYR Current]]&gt;0,(Table13[[#This Row],[WAYR Current]]-Table13[[#This Row],[WAYR Last]]),""),"")</f>
        <v>-0.84999999999999964</v>
      </c>
      <c r="N215" s="5"/>
      <c r="S215" s="67"/>
      <c r="T215" s="67"/>
      <c r="U215" s="5"/>
      <c r="V215" s="5"/>
      <c r="AG215" s="5"/>
      <c r="AH215" s="13">
        <v>44601</v>
      </c>
      <c r="AI215" s="78">
        <v>77000</v>
      </c>
      <c r="AJ215" s="78">
        <v>208609</v>
      </c>
      <c r="AK215" s="78">
        <v>77000</v>
      </c>
      <c r="AL215" s="78">
        <v>131609</v>
      </c>
      <c r="AM215" s="78">
        <v>0</v>
      </c>
      <c r="AN215" s="78">
        <v>8.5500000000000007</v>
      </c>
      <c r="AO215" s="77">
        <v>0</v>
      </c>
      <c r="AP215" s="77"/>
      <c r="AQ215" s="5"/>
      <c r="AR215" s="5"/>
      <c r="AU215" s="78"/>
      <c r="AV215" s="64"/>
      <c r="AX215" s="78"/>
      <c r="AY215" s="13">
        <v>44601</v>
      </c>
    </row>
    <row r="216" spans="1:51" x14ac:dyDescent="0.2">
      <c r="A216" s="9">
        <v>43761</v>
      </c>
      <c r="B216" s="5"/>
      <c r="C216" s="10">
        <v>182</v>
      </c>
      <c r="D216" s="10" t="s">
        <v>20</v>
      </c>
      <c r="E216" s="14">
        <v>6000</v>
      </c>
      <c r="F216" s="14">
        <v>15311</v>
      </c>
      <c r="G216" s="14">
        <v>7200</v>
      </c>
      <c r="H216" s="33">
        <v>7.66</v>
      </c>
      <c r="I216" s="33">
        <v>7.69</v>
      </c>
      <c r="J216" s="12">
        <f t="array" ref="J21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43944</v>
      </c>
      <c r="K216" s="59">
        <f>IFERROR(Table13[[#This Row],[Bid Accepted]]*(Table13[[#This Row],[WAYR Current]]%/364*Table13[[#This Row],[Days To Maturity]]),0)</f>
        <v>275.76</v>
      </c>
      <c r="L216" s="41">
        <f>+Table13[[#This Row],[Bid Accepted]]-Table13[[#This Row],[Amount Offered]]</f>
        <v>1200</v>
      </c>
      <c r="M216" s="57">
        <f>+IF(Table13[[#This Row],[WAYR Last]]&gt;0,IF(Table13[[#This Row],[WAYR Current]]&gt;0,(Table13[[#This Row],[WAYR Current]]-Table13[[#This Row],[WAYR Last]]),""),"")</f>
        <v>-3.0000000000000249E-2</v>
      </c>
      <c r="N216" s="5"/>
      <c r="S216" s="67"/>
      <c r="T216" s="67"/>
      <c r="U216" s="5"/>
      <c r="V216" s="5"/>
      <c r="AG216" s="5"/>
      <c r="AH216" s="13">
        <v>44607</v>
      </c>
      <c r="AI216" s="78">
        <v>79000</v>
      </c>
      <c r="AJ216" s="78">
        <v>154273</v>
      </c>
      <c r="AK216" s="78">
        <v>79000</v>
      </c>
      <c r="AL216" s="78">
        <v>75273</v>
      </c>
      <c r="AM216" s="78">
        <v>0</v>
      </c>
      <c r="AN216" s="78">
        <v>8.57</v>
      </c>
      <c r="AO216" s="77">
        <v>0</v>
      </c>
      <c r="AP216" s="77"/>
      <c r="AQ216" s="5"/>
      <c r="AR216" s="5"/>
      <c r="AU216" s="78"/>
      <c r="AV216" s="64"/>
      <c r="AX216" s="78"/>
      <c r="AY216" s="13">
        <v>44607</v>
      </c>
    </row>
    <row r="217" spans="1:51" x14ac:dyDescent="0.2">
      <c r="A217" s="9">
        <v>43761</v>
      </c>
      <c r="B217" s="5"/>
      <c r="C217" s="5">
        <v>364</v>
      </c>
      <c r="D217" s="10" t="s">
        <v>20</v>
      </c>
      <c r="E217" s="14">
        <v>15000</v>
      </c>
      <c r="F217" s="14">
        <v>27200</v>
      </c>
      <c r="G217" s="14">
        <v>13800</v>
      </c>
      <c r="H217" s="33">
        <v>8.34</v>
      </c>
      <c r="I217" s="33">
        <v>7.56</v>
      </c>
      <c r="J217" s="12">
        <f t="array" ref="J21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44127</v>
      </c>
      <c r="K217" s="59">
        <f>IFERROR(Table13[[#This Row],[Bid Accepted]]*(Table13[[#This Row],[WAYR Current]]%/364*Table13[[#This Row],[Days To Maturity]]),0)</f>
        <v>1150.92</v>
      </c>
      <c r="L217" s="41">
        <f>+Table13[[#This Row],[Bid Accepted]]-Table13[[#This Row],[Amount Offered]]</f>
        <v>-1200</v>
      </c>
      <c r="M217" s="57">
        <f>+IF(Table13[[#This Row],[WAYR Last]]&gt;0,IF(Table13[[#This Row],[WAYR Current]]&gt;0,(Table13[[#This Row],[WAYR Current]]-Table13[[#This Row],[WAYR Last]]),""),"")</f>
        <v>0.78000000000000025</v>
      </c>
      <c r="N217" s="5"/>
      <c r="S217" s="67"/>
      <c r="T217" s="67"/>
      <c r="U217" s="5"/>
      <c r="V217" s="5"/>
      <c r="AG217" s="5"/>
      <c r="AH217" s="13">
        <v>44615</v>
      </c>
      <c r="AI217" s="78">
        <v>80000</v>
      </c>
      <c r="AJ217" s="78">
        <v>139918</v>
      </c>
      <c r="AK217" s="78">
        <v>64556</v>
      </c>
      <c r="AL217" s="78">
        <v>59918</v>
      </c>
      <c r="AM217" s="78">
        <v>-15444</v>
      </c>
      <c r="AN217" s="78">
        <v>8.5299999999999994</v>
      </c>
      <c r="AO217" s="77">
        <v>-0.19305</v>
      </c>
      <c r="AP217" s="77"/>
      <c r="AQ217" s="5"/>
      <c r="AR217" s="5"/>
      <c r="AU217" s="78"/>
      <c r="AV217" s="64"/>
      <c r="AX217" s="78"/>
      <c r="AY217" s="13">
        <v>44615</v>
      </c>
    </row>
    <row r="218" spans="1:51" x14ac:dyDescent="0.2">
      <c r="A218" s="9">
        <v>43768</v>
      </c>
      <c r="B218" s="10"/>
      <c r="C218" s="10">
        <v>91</v>
      </c>
      <c r="D218" s="10" t="s">
        <v>20</v>
      </c>
      <c r="E218" s="18">
        <v>1500</v>
      </c>
      <c r="F218" s="18">
        <v>5912</v>
      </c>
      <c r="G218" s="18">
        <v>4407</v>
      </c>
      <c r="H218" s="37">
        <v>7.49</v>
      </c>
      <c r="I218" s="37">
        <v>7.5</v>
      </c>
      <c r="J218" s="12">
        <f t="array" ref="J21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43860</v>
      </c>
      <c r="K218" s="59">
        <f>IFERROR(Table13[[#This Row],[Bid Accepted]]*(Table13[[#This Row],[WAYR Current]]%/364*Table13[[#This Row],[Days To Maturity]]),0)</f>
        <v>82.52107500000001</v>
      </c>
      <c r="L218" s="41">
        <f>+Table13[[#This Row],[Bid Accepted]]-Table13[[#This Row],[Amount Offered]]</f>
        <v>2907</v>
      </c>
      <c r="M218" s="57">
        <f>+IF(Table13[[#This Row],[WAYR Last]]&gt;0,IF(Table13[[#This Row],[WAYR Current]]&gt;0,(Table13[[#This Row],[WAYR Current]]-Table13[[#This Row],[WAYR Last]]),""),"")</f>
        <v>-9.9999999999997868E-3</v>
      </c>
      <c r="N218" s="5"/>
      <c r="S218" s="67"/>
      <c r="T218" s="67"/>
      <c r="U218" s="5"/>
      <c r="V218" s="5"/>
      <c r="AG218" s="5"/>
      <c r="AH218" s="13">
        <v>44622</v>
      </c>
      <c r="AI218" s="78">
        <v>55000</v>
      </c>
      <c r="AJ218" s="78">
        <v>72339</v>
      </c>
      <c r="AK218" s="78">
        <v>35953</v>
      </c>
      <c r="AL218" s="78">
        <v>17339</v>
      </c>
      <c r="AM218" s="78">
        <v>-19047</v>
      </c>
      <c r="AN218" s="78">
        <v>9.9499999999999993</v>
      </c>
      <c r="AO218" s="77">
        <v>-0.3463090909090909</v>
      </c>
      <c r="AP218" s="77"/>
      <c r="AQ218" s="5"/>
      <c r="AR218" s="5"/>
      <c r="AU218" s="78"/>
      <c r="AV218" s="64"/>
      <c r="AX218" s="78"/>
      <c r="AY218" s="13">
        <v>44622</v>
      </c>
    </row>
    <row r="219" spans="1:51" x14ac:dyDescent="0.2">
      <c r="A219" s="9">
        <v>43768</v>
      </c>
      <c r="B219" s="5"/>
      <c r="C219" s="10">
        <v>182</v>
      </c>
      <c r="D219" s="10" t="s">
        <v>20</v>
      </c>
      <c r="E219" s="14">
        <v>3000</v>
      </c>
      <c r="F219" s="14">
        <v>10533</v>
      </c>
      <c r="G219" s="14">
        <v>6807</v>
      </c>
      <c r="H219" s="33">
        <v>7.65</v>
      </c>
      <c r="I219" s="33">
        <v>7.66</v>
      </c>
      <c r="J219" s="12">
        <f t="array" ref="J21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43951</v>
      </c>
      <c r="K219" s="59">
        <f>IFERROR(Table13[[#This Row],[Bid Accepted]]*(Table13[[#This Row],[WAYR Current]]%/364*Table13[[#This Row],[Days To Maturity]]),0)</f>
        <v>260.36775</v>
      </c>
      <c r="L219" s="41">
        <f>+Table13[[#This Row],[Bid Accepted]]-Table13[[#This Row],[Amount Offered]]</f>
        <v>3807</v>
      </c>
      <c r="M219" s="57">
        <f>+IF(Table13[[#This Row],[WAYR Last]]&gt;0,IF(Table13[[#This Row],[WAYR Current]]&gt;0,(Table13[[#This Row],[WAYR Current]]-Table13[[#This Row],[WAYR Last]]),""),"")</f>
        <v>-9.9999999999997868E-3</v>
      </c>
      <c r="N219" s="5"/>
      <c r="S219" s="67"/>
      <c r="T219" s="67"/>
      <c r="U219" s="5"/>
      <c r="V219" s="5"/>
      <c r="AG219" s="5"/>
      <c r="AH219" s="13">
        <v>44629</v>
      </c>
      <c r="AI219" s="78">
        <v>60000</v>
      </c>
      <c r="AJ219" s="78">
        <v>120469</v>
      </c>
      <c r="AK219" s="78">
        <v>60000</v>
      </c>
      <c r="AL219" s="78">
        <v>60469</v>
      </c>
      <c r="AM219" s="78">
        <v>0</v>
      </c>
      <c r="AN219" s="78">
        <v>10.66</v>
      </c>
      <c r="AO219" s="77">
        <v>0</v>
      </c>
      <c r="AP219" s="77"/>
      <c r="AQ219" s="5"/>
      <c r="AR219" s="5"/>
      <c r="AU219" s="78"/>
      <c r="AV219" s="64"/>
      <c r="AX219" s="78"/>
      <c r="AY219" s="13">
        <v>44629</v>
      </c>
    </row>
    <row r="220" spans="1:51" x14ac:dyDescent="0.2">
      <c r="A220" s="9">
        <v>43768</v>
      </c>
      <c r="B220" s="5"/>
      <c r="C220" s="5">
        <v>364</v>
      </c>
      <c r="D220" s="10" t="s">
        <v>20</v>
      </c>
      <c r="E220" s="14">
        <v>11500</v>
      </c>
      <c r="F220" s="14">
        <v>17590</v>
      </c>
      <c r="G220" s="14">
        <v>4786</v>
      </c>
      <c r="H220" s="33">
        <v>8.35</v>
      </c>
      <c r="I220" s="33">
        <v>8.34</v>
      </c>
      <c r="J220" s="12">
        <f t="array" ref="J22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44134</v>
      </c>
      <c r="K220" s="59">
        <f>IFERROR(Table13[[#This Row],[Bid Accepted]]*(Table13[[#This Row],[WAYR Current]]%/364*Table13[[#This Row],[Days To Maturity]]),0)</f>
        <v>399.63099999999997</v>
      </c>
      <c r="L220" s="41">
        <f>+Table13[[#This Row],[Bid Accepted]]-Table13[[#This Row],[Amount Offered]]</f>
        <v>-6714</v>
      </c>
      <c r="M220" s="57">
        <f>+IF(Table13[[#This Row],[WAYR Last]]&gt;0,IF(Table13[[#This Row],[WAYR Current]]&gt;0,(Table13[[#This Row],[WAYR Current]]-Table13[[#This Row],[WAYR Last]]),""),"")</f>
        <v>9.9999999999997868E-3</v>
      </c>
      <c r="N220" s="5"/>
      <c r="S220" s="67"/>
      <c r="T220" s="67"/>
      <c r="U220" s="5"/>
      <c r="V220" s="5"/>
      <c r="AG220" s="5"/>
      <c r="AH220" s="13">
        <v>44635</v>
      </c>
      <c r="AI220" s="78">
        <v>60000</v>
      </c>
      <c r="AJ220" s="78">
        <v>119194</v>
      </c>
      <c r="AK220" s="78">
        <v>54838</v>
      </c>
      <c r="AL220" s="78">
        <v>59194</v>
      </c>
      <c r="AM220" s="78">
        <v>-5162</v>
      </c>
      <c r="AN220" s="78">
        <v>11.15</v>
      </c>
      <c r="AO220" s="77">
        <v>-8.6033333333333337E-2</v>
      </c>
      <c r="AP220" s="77"/>
      <c r="AQ220" s="5"/>
      <c r="AR220" s="5"/>
      <c r="AU220" s="78"/>
      <c r="AV220" s="64"/>
      <c r="AX220" s="78"/>
      <c r="AY220" s="13">
        <v>44635</v>
      </c>
    </row>
    <row r="221" spans="1:51" x14ac:dyDescent="0.2">
      <c r="A221" s="9">
        <v>43775</v>
      </c>
      <c r="B221" s="10"/>
      <c r="C221" s="10">
        <v>91</v>
      </c>
      <c r="D221" s="10" t="s">
        <v>20</v>
      </c>
      <c r="E221" s="18">
        <v>2000</v>
      </c>
      <c r="F221" s="18">
        <v>7414</v>
      </c>
      <c r="G221" s="18">
        <v>5773</v>
      </c>
      <c r="H221" s="37">
        <v>7.49</v>
      </c>
      <c r="I221" s="37">
        <v>7.49</v>
      </c>
      <c r="J221" s="12">
        <f t="array" ref="J22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43867</v>
      </c>
      <c r="K221" s="59">
        <f>IFERROR(Table13[[#This Row],[Bid Accepted]]*(Table13[[#This Row],[WAYR Current]]%/364*Table13[[#This Row],[Days To Maturity]]),0)</f>
        <v>108.09942500000001</v>
      </c>
      <c r="L221" s="41">
        <f>+Table13[[#This Row],[Bid Accepted]]-Table13[[#This Row],[Amount Offered]]</f>
        <v>3773</v>
      </c>
      <c r="M221" s="57">
        <f>+IF(Table13[[#This Row],[WAYR Last]]&gt;0,IF(Table13[[#This Row],[WAYR Current]]&gt;0,(Table13[[#This Row],[WAYR Current]]-Table13[[#This Row],[WAYR Last]]),""),"")</f>
        <v>0</v>
      </c>
      <c r="N221" s="5"/>
      <c r="S221" s="67"/>
      <c r="T221" s="67"/>
      <c r="U221" s="5"/>
      <c r="V221" s="5"/>
      <c r="AG221" s="5"/>
      <c r="AH221" s="13">
        <v>44643</v>
      </c>
      <c r="AI221" s="78">
        <v>56500</v>
      </c>
      <c r="AJ221" s="78">
        <v>109274</v>
      </c>
      <c r="AK221" s="78">
        <v>56500</v>
      </c>
      <c r="AL221" s="78">
        <v>52774</v>
      </c>
      <c r="AM221" s="78">
        <v>0</v>
      </c>
      <c r="AN221" s="78">
        <v>12</v>
      </c>
      <c r="AO221" s="77">
        <v>0</v>
      </c>
      <c r="AP221" s="77"/>
      <c r="AQ221" s="5"/>
      <c r="AR221" s="5"/>
      <c r="AU221" s="78"/>
      <c r="AV221" s="64"/>
      <c r="AX221" s="78"/>
      <c r="AY221" s="13">
        <v>44643</v>
      </c>
    </row>
    <row r="222" spans="1:51" x14ac:dyDescent="0.2">
      <c r="A222" s="9">
        <v>43775</v>
      </c>
      <c r="B222" s="5"/>
      <c r="C222" s="10">
        <v>182</v>
      </c>
      <c r="D222" s="10" t="s">
        <v>20</v>
      </c>
      <c r="E222" s="14">
        <v>8000</v>
      </c>
      <c r="F222" s="14">
        <v>15208</v>
      </c>
      <c r="G222" s="14">
        <v>7438</v>
      </c>
      <c r="H222" s="33">
        <v>7.67</v>
      </c>
      <c r="I222" s="33">
        <v>7.65</v>
      </c>
      <c r="J222" s="12">
        <f t="array" ref="J22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43957</v>
      </c>
      <c r="K222" s="59">
        <f>IFERROR(Table13[[#This Row],[Bid Accepted]]*(Table13[[#This Row],[WAYR Current]]%/364*Table13[[#This Row],[Days To Maturity]]),0)</f>
        <v>285.2473</v>
      </c>
      <c r="L222" s="41">
        <f>+Table13[[#This Row],[Bid Accepted]]-Table13[[#This Row],[Amount Offered]]</f>
        <v>-562</v>
      </c>
      <c r="M222" s="57">
        <f>+IF(Table13[[#This Row],[WAYR Last]]&gt;0,IF(Table13[[#This Row],[WAYR Current]]&gt;0,(Table13[[#This Row],[WAYR Current]]-Table13[[#This Row],[WAYR Last]]),""),"")</f>
        <v>1.9999999999999574E-2</v>
      </c>
      <c r="N222" s="5"/>
      <c r="S222" s="67"/>
      <c r="T222" s="67"/>
      <c r="U222" s="5"/>
      <c r="V222" s="5"/>
      <c r="AG222" s="5"/>
      <c r="AH222" s="13">
        <v>44650</v>
      </c>
      <c r="AI222" s="78">
        <v>48000</v>
      </c>
      <c r="AJ222" s="78">
        <v>91202</v>
      </c>
      <c r="AK222" s="78">
        <v>48000</v>
      </c>
      <c r="AL222" s="78">
        <v>43202</v>
      </c>
      <c r="AM222" s="78">
        <v>0</v>
      </c>
      <c r="AN222" s="78">
        <v>12.28</v>
      </c>
      <c r="AO222" s="77">
        <v>0</v>
      </c>
      <c r="AP222" s="77"/>
      <c r="AQ222" s="5"/>
      <c r="AR222" s="5"/>
      <c r="AU222" s="78"/>
      <c r="AV222" s="64"/>
      <c r="AX222" s="78"/>
      <c r="AY222" s="13">
        <v>44650</v>
      </c>
    </row>
    <row r="223" spans="1:51" x14ac:dyDescent="0.2">
      <c r="A223" s="9">
        <v>43775</v>
      </c>
      <c r="B223" s="5"/>
      <c r="C223" s="5">
        <v>364</v>
      </c>
      <c r="D223" s="10" t="s">
        <v>20</v>
      </c>
      <c r="E223" s="14">
        <v>10000</v>
      </c>
      <c r="F223" s="14">
        <v>14500</v>
      </c>
      <c r="G223" s="14">
        <v>6789</v>
      </c>
      <c r="H223" s="33">
        <v>8.41</v>
      </c>
      <c r="I223" s="33">
        <v>8.35</v>
      </c>
      <c r="J223" s="12">
        <f t="array" ref="J22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44141</v>
      </c>
      <c r="K223" s="59">
        <f>IFERROR(Table13[[#This Row],[Bid Accepted]]*(Table13[[#This Row],[WAYR Current]]%/364*Table13[[#This Row],[Days To Maturity]]),0)</f>
        <v>570.95490000000007</v>
      </c>
      <c r="L223" s="41">
        <f>+Table13[[#This Row],[Bid Accepted]]-Table13[[#This Row],[Amount Offered]]</f>
        <v>-3211</v>
      </c>
      <c r="M223" s="57">
        <f>+IF(Table13[[#This Row],[WAYR Last]]&gt;0,IF(Table13[[#This Row],[WAYR Current]]&gt;0,(Table13[[#This Row],[WAYR Current]]-Table13[[#This Row],[WAYR Last]]),""),"")</f>
        <v>6.0000000000000497E-2</v>
      </c>
      <c r="N223" s="5"/>
      <c r="S223" s="67"/>
      <c r="T223" s="67"/>
      <c r="U223" s="5"/>
      <c r="V223" s="5"/>
      <c r="AG223" s="5"/>
      <c r="AH223" s="13">
        <v>44657</v>
      </c>
      <c r="AI223" s="78">
        <v>80000</v>
      </c>
      <c r="AJ223" s="78">
        <v>116765</v>
      </c>
      <c r="AK223" s="78">
        <v>72880</v>
      </c>
      <c r="AL223" s="78">
        <v>36765</v>
      </c>
      <c r="AM223" s="78">
        <v>-7120</v>
      </c>
      <c r="AN223" s="78">
        <v>15.69</v>
      </c>
      <c r="AO223" s="77">
        <v>-8.8999999999999996E-2</v>
      </c>
      <c r="AP223" s="77"/>
      <c r="AQ223" s="5"/>
      <c r="AR223" s="5"/>
      <c r="AU223" s="78"/>
      <c r="AV223" s="64"/>
      <c r="AX223" s="78"/>
      <c r="AY223" s="13">
        <v>44657</v>
      </c>
    </row>
    <row r="224" spans="1:51" x14ac:dyDescent="0.2">
      <c r="A224" s="9">
        <v>43782</v>
      </c>
      <c r="B224" s="10"/>
      <c r="C224" s="10">
        <v>91</v>
      </c>
      <c r="D224" s="10" t="s">
        <v>20</v>
      </c>
      <c r="E224" s="18">
        <v>4000</v>
      </c>
      <c r="F224" s="18">
        <v>9204</v>
      </c>
      <c r="G224" s="18">
        <v>6454</v>
      </c>
      <c r="H224" s="37">
        <v>7.56</v>
      </c>
      <c r="I224" s="37">
        <v>7.49</v>
      </c>
      <c r="J224" s="12">
        <f t="array" ref="J22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43874</v>
      </c>
      <c r="K224" s="59">
        <f>IFERROR(Table13[[#This Row],[Bid Accepted]]*(Table13[[#This Row],[WAYR Current]]%/364*Table13[[#This Row],[Days To Maturity]]),0)</f>
        <v>121.9806</v>
      </c>
      <c r="L224" s="41">
        <f>+Table13[[#This Row],[Bid Accepted]]-Table13[[#This Row],[Amount Offered]]</f>
        <v>2454</v>
      </c>
      <c r="M224" s="57">
        <f>+IF(Table13[[#This Row],[WAYR Last]]&gt;0,IF(Table13[[#This Row],[WAYR Current]]&gt;0,(Table13[[#This Row],[WAYR Current]]-Table13[[#This Row],[WAYR Last]]),""),"")</f>
        <v>6.9999999999999396E-2</v>
      </c>
      <c r="N224" s="5"/>
      <c r="S224" s="67"/>
      <c r="T224" s="67"/>
      <c r="U224" s="5"/>
      <c r="V224" s="5"/>
      <c r="AG224" s="5"/>
      <c r="AH224" s="13">
        <v>44662</v>
      </c>
      <c r="AI224" s="78">
        <v>87500</v>
      </c>
      <c r="AJ224" s="78">
        <v>108742</v>
      </c>
      <c r="AK224" s="78">
        <v>81998</v>
      </c>
      <c r="AL224" s="78">
        <v>21242</v>
      </c>
      <c r="AM224" s="78">
        <v>-5502</v>
      </c>
      <c r="AN224" s="78">
        <v>23.36</v>
      </c>
      <c r="AO224" s="77">
        <v>-6.2880000000000005E-2</v>
      </c>
      <c r="AP224" s="77"/>
      <c r="AQ224" s="5"/>
      <c r="AR224" s="5"/>
      <c r="AU224" s="78"/>
      <c r="AV224" s="64"/>
      <c r="AX224" s="78"/>
      <c r="AY224" s="13">
        <v>44662</v>
      </c>
    </row>
    <row r="225" spans="1:51" x14ac:dyDescent="0.2">
      <c r="A225" s="9">
        <v>43782</v>
      </c>
      <c r="B225" s="5"/>
      <c r="C225" s="10">
        <v>182</v>
      </c>
      <c r="D225" s="10" t="s">
        <v>71</v>
      </c>
      <c r="E225" s="14">
        <v>8000</v>
      </c>
      <c r="F225" s="14">
        <v>8904</v>
      </c>
      <c r="G225" s="14">
        <v>0</v>
      </c>
      <c r="H225" s="33">
        <v>0</v>
      </c>
      <c r="I225" s="33">
        <v>7.67</v>
      </c>
      <c r="J225" s="55">
        <f t="array" ref="J22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43964</v>
      </c>
      <c r="K225" s="59">
        <f>IFERROR(Table13[[#This Row],[Bid Accepted]]*(Table13[[#This Row],[WAYR Current]]%/364*Table13[[#This Row],[Days To Maturity]]),0)</f>
        <v>0</v>
      </c>
      <c r="L225" s="41">
        <f>+Table13[[#This Row],[Bid Accepted]]-Table13[[#This Row],[Amount Offered]]</f>
        <v>-8000</v>
      </c>
      <c r="M225" s="57" t="str">
        <f>+IF(Table13[[#This Row],[WAYR Last]]&gt;0,IF(Table13[[#This Row],[WAYR Current]]&gt;0,(Table13[[#This Row],[WAYR Current]]-Table13[[#This Row],[WAYR Last]]),""),"")</f>
        <v/>
      </c>
      <c r="N225" s="5"/>
      <c r="S225" s="67"/>
      <c r="T225" s="67"/>
      <c r="U225" s="5"/>
      <c r="V225" s="5"/>
      <c r="AG225" s="5"/>
      <c r="AH225" s="13">
        <v>44671</v>
      </c>
      <c r="AI225" s="78">
        <v>97500</v>
      </c>
      <c r="AJ225" s="78">
        <v>162120</v>
      </c>
      <c r="AK225" s="78">
        <v>48066</v>
      </c>
      <c r="AL225" s="78">
        <v>64620</v>
      </c>
      <c r="AM225" s="78">
        <v>-49434</v>
      </c>
      <c r="AN225" s="78">
        <v>24.36</v>
      </c>
      <c r="AO225" s="77">
        <v>-0.50701538461538465</v>
      </c>
      <c r="AP225" s="77"/>
      <c r="AQ225" s="5"/>
      <c r="AR225" s="5"/>
      <c r="AU225" s="78"/>
      <c r="AV225" s="64"/>
      <c r="AX225" s="78"/>
      <c r="AY225" s="13">
        <v>44671</v>
      </c>
    </row>
    <row r="226" spans="1:51" x14ac:dyDescent="0.2">
      <c r="A226" s="9">
        <v>43782</v>
      </c>
      <c r="B226" s="5"/>
      <c r="C226" s="5">
        <v>364</v>
      </c>
      <c r="D226" s="10" t="s">
        <v>20</v>
      </c>
      <c r="E226" s="14">
        <v>8000</v>
      </c>
      <c r="F226" s="14">
        <v>13940</v>
      </c>
      <c r="G226" s="14">
        <v>11790</v>
      </c>
      <c r="H226" s="33">
        <v>8.51</v>
      </c>
      <c r="I226" s="33">
        <v>8.41</v>
      </c>
      <c r="J226" s="55">
        <f t="array" ref="J22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44148</v>
      </c>
      <c r="K226" s="59">
        <f>IFERROR(Table13[[#This Row],[Bid Accepted]]*(Table13[[#This Row],[WAYR Current]]%/364*Table13[[#This Row],[Days To Maturity]]),0)</f>
        <v>1003.329</v>
      </c>
      <c r="L226" s="41">
        <f>+Table13[[#This Row],[Bid Accepted]]-Table13[[#This Row],[Amount Offered]]</f>
        <v>3790</v>
      </c>
      <c r="M226" s="57">
        <f>+IF(Table13[[#This Row],[WAYR Last]]&gt;0,IF(Table13[[#This Row],[WAYR Current]]&gt;0,(Table13[[#This Row],[WAYR Current]]-Table13[[#This Row],[WAYR Last]]),""),"")</f>
        <v>9.9999999999999645E-2</v>
      </c>
      <c r="N226" s="5"/>
      <c r="S226" s="67"/>
      <c r="T226" s="67"/>
      <c r="U226" s="5"/>
      <c r="V226" s="5"/>
      <c r="AG226" s="5"/>
      <c r="AH226" s="13">
        <v>44678</v>
      </c>
      <c r="AI226" s="78">
        <v>87500</v>
      </c>
      <c r="AJ226" s="78">
        <v>175922</v>
      </c>
      <c r="AK226" s="78">
        <v>87500</v>
      </c>
      <c r="AL226" s="78">
        <v>88422</v>
      </c>
      <c r="AM226" s="78">
        <v>0</v>
      </c>
      <c r="AN226" s="78">
        <v>24.09</v>
      </c>
      <c r="AO226" s="77">
        <v>0</v>
      </c>
      <c r="AP226" s="77"/>
      <c r="AQ226" s="5"/>
      <c r="AR226" s="5"/>
      <c r="AU226" s="78"/>
      <c r="AV226" s="64"/>
      <c r="AX226" s="78"/>
      <c r="AY226" s="13">
        <v>44678</v>
      </c>
    </row>
    <row r="227" spans="1:51" x14ac:dyDescent="0.2">
      <c r="A227" s="9">
        <v>43789</v>
      </c>
      <c r="B227" s="10"/>
      <c r="C227" s="10">
        <v>91</v>
      </c>
      <c r="D227" s="10" t="s">
        <v>20</v>
      </c>
      <c r="E227" s="18">
        <v>4000</v>
      </c>
      <c r="F227" s="18">
        <v>8702</v>
      </c>
      <c r="G227" s="18">
        <v>1195</v>
      </c>
      <c r="H227" s="37">
        <v>7.47</v>
      </c>
      <c r="I227" s="37">
        <v>7.56</v>
      </c>
      <c r="J227" s="12">
        <f t="array" ref="J22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43881</v>
      </c>
      <c r="K227" s="59">
        <f>IFERROR(Table13[[#This Row],[Bid Accepted]]*(Table13[[#This Row],[WAYR Current]]%/364*Table13[[#This Row],[Days To Maturity]]),0)</f>
        <v>22.316625000000002</v>
      </c>
      <c r="L227" s="41">
        <f>+Table13[[#This Row],[Bid Accepted]]-Table13[[#This Row],[Amount Offered]]</f>
        <v>-2805</v>
      </c>
      <c r="M227" s="57">
        <f>+IF(Table13[[#This Row],[WAYR Last]]&gt;0,IF(Table13[[#This Row],[WAYR Current]]&gt;0,(Table13[[#This Row],[WAYR Current]]-Table13[[#This Row],[WAYR Last]]),""),"")</f>
        <v>-8.9999999999999858E-2</v>
      </c>
      <c r="N227" s="5"/>
      <c r="S227" s="67"/>
      <c r="T227" s="67"/>
      <c r="U227" s="5"/>
      <c r="V227" s="5"/>
      <c r="AG227" s="5"/>
      <c r="AH227" s="13">
        <v>44685</v>
      </c>
      <c r="AI227" s="78">
        <v>97500</v>
      </c>
      <c r="AJ227" s="78">
        <v>189185</v>
      </c>
      <c r="AK227" s="78">
        <v>97500</v>
      </c>
      <c r="AL227" s="78">
        <v>91685</v>
      </c>
      <c r="AM227" s="78">
        <v>0</v>
      </c>
      <c r="AN227" s="78">
        <v>23.92</v>
      </c>
      <c r="AO227" s="77">
        <v>0</v>
      </c>
      <c r="AP227" s="77"/>
      <c r="AQ227" s="5"/>
      <c r="AR227" s="5"/>
      <c r="AU227" s="78"/>
      <c r="AV227" s="64"/>
      <c r="AX227" s="78"/>
      <c r="AY227" s="13">
        <v>44685</v>
      </c>
    </row>
    <row r="228" spans="1:51" x14ac:dyDescent="0.2">
      <c r="A228" s="9">
        <v>43789</v>
      </c>
      <c r="B228" s="10"/>
      <c r="C228" s="10">
        <v>182</v>
      </c>
      <c r="D228" s="10" t="s">
        <v>20</v>
      </c>
      <c r="E228" s="18">
        <v>5000</v>
      </c>
      <c r="F228" s="18">
        <v>8878</v>
      </c>
      <c r="G228" s="18">
        <v>1500</v>
      </c>
      <c r="H228" s="37">
        <v>7.58</v>
      </c>
      <c r="I228" s="37">
        <v>0</v>
      </c>
      <c r="J228" s="12">
        <f t="array" ref="J22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43971</v>
      </c>
      <c r="K228" s="59">
        <f>IFERROR(Table13[[#This Row],[Bid Accepted]]*(Table13[[#This Row],[WAYR Current]]%/364*Table13[[#This Row],[Days To Maturity]]),0)</f>
        <v>56.85</v>
      </c>
      <c r="L228" s="41">
        <f>+Table13[[#This Row],[Bid Accepted]]-Table13[[#This Row],[Amount Offered]]</f>
        <v>-3500</v>
      </c>
      <c r="M228" s="57" t="str">
        <f>+IF(Table13[[#This Row],[WAYR Last]]&gt;0,IF(Table13[[#This Row],[WAYR Current]]&gt;0,(Table13[[#This Row],[WAYR Current]]-Table13[[#This Row],[WAYR Last]]),""),"")</f>
        <v/>
      </c>
      <c r="N228" s="5"/>
      <c r="S228" s="67"/>
      <c r="T228" s="67"/>
      <c r="U228" s="5"/>
      <c r="V228" s="5"/>
      <c r="AG228" s="5"/>
      <c r="AH228" s="13">
        <v>44692</v>
      </c>
      <c r="AI228" s="78">
        <v>92500</v>
      </c>
      <c r="AJ228" s="78">
        <v>151522</v>
      </c>
      <c r="AK228" s="78">
        <v>85399</v>
      </c>
      <c r="AL228" s="78">
        <v>59022</v>
      </c>
      <c r="AM228" s="78">
        <v>-7101</v>
      </c>
      <c r="AN228" s="78">
        <v>24.5</v>
      </c>
      <c r="AO228" s="77">
        <v>-7.6767567567567571E-2</v>
      </c>
      <c r="AP228" s="77"/>
      <c r="AQ228" s="5"/>
      <c r="AR228" s="5"/>
      <c r="AU228" s="78"/>
      <c r="AV228" s="64"/>
      <c r="AX228" s="78"/>
      <c r="AY228" s="13">
        <v>44692</v>
      </c>
    </row>
    <row r="229" spans="1:51" x14ac:dyDescent="0.2">
      <c r="A229" s="9">
        <v>43789</v>
      </c>
      <c r="B229" s="5"/>
      <c r="C229" s="5">
        <v>364</v>
      </c>
      <c r="D229" s="10" t="s">
        <v>20</v>
      </c>
      <c r="E229" s="14">
        <v>10000</v>
      </c>
      <c r="F229" s="14">
        <v>60555</v>
      </c>
      <c r="G229" s="14">
        <v>16305</v>
      </c>
      <c r="H229" s="33">
        <v>8.2200000000000006</v>
      </c>
      <c r="I229" s="33">
        <v>8.51</v>
      </c>
      <c r="J229" s="55">
        <f t="array" ref="J22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44155</v>
      </c>
      <c r="K229" s="59">
        <f>IFERROR(Table13[[#This Row],[Bid Accepted]]*(Table13[[#This Row],[WAYR Current]]%/364*Table13[[#This Row],[Days To Maturity]]),0)</f>
        <v>1340.2710000000002</v>
      </c>
      <c r="L229" s="41">
        <f>+Table13[[#This Row],[Bid Accepted]]-Table13[[#This Row],[Amount Offered]]</f>
        <v>6305</v>
      </c>
      <c r="M229" s="57">
        <f>+IF(Table13[[#This Row],[WAYR Last]]&gt;0,IF(Table13[[#This Row],[WAYR Current]]&gt;0,(Table13[[#This Row],[WAYR Current]]-Table13[[#This Row],[WAYR Last]]),""),"")</f>
        <v>-0.28999999999999915</v>
      </c>
      <c r="N229" s="5"/>
      <c r="S229" s="67"/>
      <c r="T229" s="67"/>
      <c r="U229" s="5"/>
      <c r="V229" s="5"/>
      <c r="AG229" s="5"/>
      <c r="AH229" s="13">
        <v>44699</v>
      </c>
      <c r="AI229" s="78">
        <v>90000</v>
      </c>
      <c r="AJ229" s="78">
        <v>135210</v>
      </c>
      <c r="AK229" s="78">
        <v>16475</v>
      </c>
      <c r="AL229" s="78">
        <v>45210</v>
      </c>
      <c r="AM229" s="78">
        <v>-73525</v>
      </c>
      <c r="AN229" s="78">
        <v>24.5</v>
      </c>
      <c r="AO229" s="77">
        <v>-0.81694444444444447</v>
      </c>
      <c r="AP229" s="77"/>
      <c r="AQ229" s="5"/>
      <c r="AR229" s="5"/>
      <c r="AU229" s="78"/>
      <c r="AV229" s="64"/>
      <c r="AX229" s="78"/>
      <c r="AY229" s="13">
        <v>44699</v>
      </c>
    </row>
    <row r="230" spans="1:51" x14ac:dyDescent="0.2">
      <c r="A230" s="9">
        <v>43796</v>
      </c>
      <c r="B230" s="10"/>
      <c r="C230" s="10">
        <v>91</v>
      </c>
      <c r="D230" s="10" t="s">
        <v>20</v>
      </c>
      <c r="E230" s="18">
        <v>1000</v>
      </c>
      <c r="F230" s="18">
        <v>5777</v>
      </c>
      <c r="G230" s="18">
        <v>2846</v>
      </c>
      <c r="H230" s="37">
        <v>7.45</v>
      </c>
      <c r="I230" s="37">
        <v>8.2200000000000006</v>
      </c>
      <c r="J230" s="12">
        <f t="array" ref="J23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43888</v>
      </c>
      <c r="K230" s="59">
        <f>IFERROR(Table13[[#This Row],[Bid Accepted]]*(Table13[[#This Row],[WAYR Current]]%/364*Table13[[#This Row],[Days To Maturity]]),0)</f>
        <v>53.006749999999997</v>
      </c>
      <c r="L230" s="41">
        <f>+Table13[[#This Row],[Bid Accepted]]-Table13[[#This Row],[Amount Offered]]</f>
        <v>1846</v>
      </c>
      <c r="M230" s="57">
        <f>+IF(Table13[[#This Row],[WAYR Last]]&gt;0,IF(Table13[[#This Row],[WAYR Current]]&gt;0,(Table13[[#This Row],[WAYR Current]]-Table13[[#This Row],[WAYR Last]]),""),"")</f>
        <v>-0.77000000000000046</v>
      </c>
      <c r="N230" s="5"/>
      <c r="S230" s="67"/>
      <c r="T230" s="67"/>
      <c r="U230" s="5"/>
      <c r="V230" s="5"/>
      <c r="AG230" s="5"/>
      <c r="AH230" s="13">
        <v>44706</v>
      </c>
      <c r="AI230" s="78">
        <v>90000</v>
      </c>
      <c r="AJ230" s="78">
        <v>213160</v>
      </c>
      <c r="AK230" s="78">
        <v>90000</v>
      </c>
      <c r="AL230" s="78">
        <v>123160</v>
      </c>
      <c r="AM230" s="78">
        <v>0</v>
      </c>
      <c r="AN230" s="78">
        <v>24.3</v>
      </c>
      <c r="AO230" s="77">
        <v>0</v>
      </c>
      <c r="AP230" s="77"/>
      <c r="AQ230" s="5"/>
      <c r="AR230" s="5"/>
      <c r="AU230" s="78"/>
      <c r="AV230" s="64"/>
      <c r="AX230" s="78"/>
      <c r="AY230" s="13">
        <v>44706</v>
      </c>
    </row>
    <row r="231" spans="1:51" x14ac:dyDescent="0.2">
      <c r="A231" s="9">
        <v>43796</v>
      </c>
      <c r="B231" s="5"/>
      <c r="C231" s="10">
        <v>182</v>
      </c>
      <c r="D231" s="5" t="s">
        <v>20</v>
      </c>
      <c r="E231" s="14">
        <v>9000</v>
      </c>
      <c r="F231" s="14">
        <v>14853</v>
      </c>
      <c r="G231" s="14">
        <v>4436</v>
      </c>
      <c r="H231" s="33">
        <v>7.67</v>
      </c>
      <c r="I231" s="33">
        <v>7.58</v>
      </c>
      <c r="J231" s="55">
        <f t="array" ref="J23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43978</v>
      </c>
      <c r="K231" s="59">
        <f>IFERROR(Table13[[#This Row],[Bid Accepted]]*(Table13[[#This Row],[WAYR Current]]%/364*Table13[[#This Row],[Days To Maturity]]),0)</f>
        <v>170.1206</v>
      </c>
      <c r="L231" s="41">
        <f>+Table13[[#This Row],[Bid Accepted]]-Table13[[#This Row],[Amount Offered]]</f>
        <v>-4564</v>
      </c>
      <c r="M231" s="57">
        <f>+IF(Table13[[#This Row],[WAYR Last]]&gt;0,IF(Table13[[#This Row],[WAYR Current]]&gt;0,(Table13[[#This Row],[WAYR Current]]-Table13[[#This Row],[WAYR Last]]),""),"")</f>
        <v>8.9999999999999858E-2</v>
      </c>
      <c r="N231" s="5"/>
      <c r="S231" s="67"/>
      <c r="T231" s="67"/>
      <c r="U231" s="5"/>
      <c r="V231" s="5"/>
      <c r="AG231" s="5"/>
      <c r="AH231" s="13">
        <v>44713</v>
      </c>
      <c r="AI231" s="78">
        <v>83000</v>
      </c>
      <c r="AJ231" s="78">
        <v>243711</v>
      </c>
      <c r="AK231" s="78">
        <v>83000</v>
      </c>
      <c r="AL231" s="78">
        <v>160711</v>
      </c>
      <c r="AM231" s="78">
        <v>0</v>
      </c>
      <c r="AN231" s="78">
        <v>23.75</v>
      </c>
      <c r="AO231" s="77">
        <v>0</v>
      </c>
      <c r="AP231" s="77"/>
      <c r="AQ231" s="5"/>
      <c r="AR231" s="5"/>
      <c r="AU231" s="78"/>
      <c r="AV231" s="64"/>
      <c r="AX231" s="78"/>
      <c r="AY231" s="13">
        <v>44713</v>
      </c>
    </row>
    <row r="232" spans="1:51" x14ac:dyDescent="0.2">
      <c r="A232" s="9">
        <v>43796</v>
      </c>
      <c r="B232" s="5"/>
      <c r="C232" s="5">
        <v>364</v>
      </c>
      <c r="D232" s="5" t="s">
        <v>20</v>
      </c>
      <c r="E232" s="14">
        <v>18000</v>
      </c>
      <c r="F232" s="14">
        <v>41137</v>
      </c>
      <c r="G232" s="14">
        <v>20718</v>
      </c>
      <c r="H232" s="33">
        <v>8.2899999999999991</v>
      </c>
      <c r="I232" s="33">
        <v>7.47</v>
      </c>
      <c r="J232" s="55">
        <f t="array" ref="J23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44162</v>
      </c>
      <c r="K232" s="59">
        <f>IFERROR(Table13[[#This Row],[Bid Accepted]]*(Table13[[#This Row],[WAYR Current]]%/364*Table13[[#This Row],[Days To Maturity]]),0)</f>
        <v>1717.5221999999997</v>
      </c>
      <c r="L232" s="41">
        <f>+Table13[[#This Row],[Bid Accepted]]-Table13[[#This Row],[Amount Offered]]</f>
        <v>2718</v>
      </c>
      <c r="M232" s="57">
        <f>+IF(Table13[[#This Row],[WAYR Last]]&gt;0,IF(Table13[[#This Row],[WAYR Current]]&gt;0,(Table13[[#This Row],[WAYR Current]]-Table13[[#This Row],[WAYR Last]]),""),"")</f>
        <v>0.8199999999999994</v>
      </c>
      <c r="N232" s="5"/>
      <c r="S232" s="67"/>
      <c r="T232" s="67"/>
      <c r="U232" s="5"/>
      <c r="V232" s="5"/>
      <c r="AG232" s="5"/>
      <c r="AH232" s="13">
        <v>44720</v>
      </c>
      <c r="AI232" s="78">
        <v>98000</v>
      </c>
      <c r="AJ232" s="78">
        <v>260565</v>
      </c>
      <c r="AK232" s="78">
        <v>98000</v>
      </c>
      <c r="AL232" s="78">
        <v>162565</v>
      </c>
      <c r="AM232" s="78">
        <v>0</v>
      </c>
      <c r="AN232" s="78">
        <v>23.13</v>
      </c>
      <c r="AO232" s="77">
        <v>0</v>
      </c>
      <c r="AP232" s="77"/>
      <c r="AQ232" s="5"/>
      <c r="AR232" s="5"/>
      <c r="AU232" s="78"/>
      <c r="AV232" s="64"/>
      <c r="AX232" s="78"/>
      <c r="AY232" s="13">
        <v>44720</v>
      </c>
    </row>
    <row r="233" spans="1:51" x14ac:dyDescent="0.2">
      <c r="A233" s="9">
        <v>43803</v>
      </c>
      <c r="B233" s="10"/>
      <c r="C233" s="10">
        <v>91</v>
      </c>
      <c r="D233" s="5" t="s">
        <v>20</v>
      </c>
      <c r="E233" s="18">
        <v>1000</v>
      </c>
      <c r="F233" s="18">
        <v>3621</v>
      </c>
      <c r="G233" s="18">
        <v>1250</v>
      </c>
      <c r="H233" s="37">
        <v>7.45</v>
      </c>
      <c r="I233" s="37">
        <v>7.45</v>
      </c>
      <c r="J233" s="12">
        <f t="array" ref="J23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43894</v>
      </c>
      <c r="K233" s="59">
        <f>IFERROR(Table13[[#This Row],[Bid Accepted]]*(Table13[[#This Row],[WAYR Current]]%/364*Table13[[#This Row],[Days To Maturity]]),0)</f>
        <v>23.28125</v>
      </c>
      <c r="L233" s="41">
        <f>+Table13[[#This Row],[Bid Accepted]]-Table13[[#This Row],[Amount Offered]]</f>
        <v>250</v>
      </c>
      <c r="M233" s="57">
        <f>+IF(Table13[[#This Row],[WAYR Last]]&gt;0,IF(Table13[[#This Row],[WAYR Current]]&gt;0,(Table13[[#This Row],[WAYR Current]]-Table13[[#This Row],[WAYR Last]]),""),"")</f>
        <v>0</v>
      </c>
      <c r="N233" s="5"/>
      <c r="S233" s="67"/>
      <c r="T233" s="67"/>
      <c r="U233" s="5"/>
      <c r="V233" s="5"/>
      <c r="AG233" s="5"/>
      <c r="AH233" s="13">
        <v>44727</v>
      </c>
      <c r="AI233" s="78">
        <v>98000</v>
      </c>
      <c r="AJ233" s="78">
        <v>202222</v>
      </c>
      <c r="AK233" s="78">
        <v>98000</v>
      </c>
      <c r="AL233" s="78">
        <v>104222</v>
      </c>
      <c r="AM233" s="78">
        <v>0</v>
      </c>
      <c r="AN233" s="78">
        <v>22.04</v>
      </c>
      <c r="AO233" s="77">
        <v>0</v>
      </c>
      <c r="AP233" s="77"/>
      <c r="AQ233" s="5"/>
      <c r="AR233" s="5"/>
      <c r="AU233" s="78"/>
      <c r="AV233" s="64"/>
      <c r="AX233" s="78"/>
      <c r="AY233" s="13">
        <v>44727</v>
      </c>
    </row>
    <row r="234" spans="1:51" x14ac:dyDescent="0.2">
      <c r="A234" s="9">
        <v>43803</v>
      </c>
      <c r="B234" s="5"/>
      <c r="C234" s="10">
        <v>182</v>
      </c>
      <c r="D234" s="5" t="s">
        <v>20</v>
      </c>
      <c r="E234" s="14">
        <v>7500</v>
      </c>
      <c r="F234" s="14">
        <v>14424</v>
      </c>
      <c r="G234" s="14">
        <v>6250</v>
      </c>
      <c r="H234" s="33">
        <v>7.6</v>
      </c>
      <c r="I234" s="33">
        <v>7.67</v>
      </c>
      <c r="J234" s="55">
        <f t="array" ref="J23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43986</v>
      </c>
      <c r="K234" s="59">
        <f>IFERROR(Table13[[#This Row],[Bid Accepted]]*(Table13[[#This Row],[WAYR Current]]%/364*Table13[[#This Row],[Days To Maturity]]),0)</f>
        <v>237.5</v>
      </c>
      <c r="L234" s="41">
        <f>+Table13[[#This Row],[Bid Accepted]]-Table13[[#This Row],[Amount Offered]]</f>
        <v>-1250</v>
      </c>
      <c r="M234" s="57">
        <f>+IF(Table13[[#This Row],[WAYR Last]]&gt;0,IF(Table13[[#This Row],[WAYR Current]]&gt;0,(Table13[[#This Row],[WAYR Current]]-Table13[[#This Row],[WAYR Last]]),""),"")</f>
        <v>-7.0000000000000284E-2</v>
      </c>
      <c r="N234" s="5"/>
      <c r="S234" s="67"/>
      <c r="T234" s="67"/>
      <c r="U234" s="5"/>
      <c r="V234" s="5"/>
      <c r="AG234" s="5"/>
      <c r="AH234" s="13">
        <v>44734</v>
      </c>
      <c r="AI234" s="78">
        <v>93000</v>
      </c>
      <c r="AJ234" s="78">
        <v>129902</v>
      </c>
      <c r="AK234" s="78">
        <v>30779</v>
      </c>
      <c r="AL234" s="78">
        <v>36902</v>
      </c>
      <c r="AM234" s="78">
        <v>-62221</v>
      </c>
      <c r="AN234" s="78">
        <v>22.04</v>
      </c>
      <c r="AO234" s="77">
        <v>-0.66904301075268813</v>
      </c>
      <c r="AP234" s="77"/>
      <c r="AQ234" s="5"/>
      <c r="AR234" s="5"/>
      <c r="AU234" s="78"/>
      <c r="AV234" s="64"/>
      <c r="AX234" s="78"/>
      <c r="AY234" s="13">
        <v>44734</v>
      </c>
    </row>
    <row r="235" spans="1:51" x14ac:dyDescent="0.2">
      <c r="A235" s="9">
        <v>43803</v>
      </c>
      <c r="B235" s="5"/>
      <c r="C235" s="5">
        <v>364</v>
      </c>
      <c r="D235" s="5" t="s">
        <v>20</v>
      </c>
      <c r="E235" s="14">
        <v>15000</v>
      </c>
      <c r="F235" s="14">
        <v>37065</v>
      </c>
      <c r="G235" s="14">
        <v>16000</v>
      </c>
      <c r="H235" s="33">
        <v>8.2200000000000006</v>
      </c>
      <c r="I235" s="33">
        <v>8.2899999999999991</v>
      </c>
      <c r="J235" s="55">
        <f t="array" ref="J23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44169</v>
      </c>
      <c r="K235" s="59">
        <f>IFERROR(Table13[[#This Row],[Bid Accepted]]*(Table13[[#This Row],[WAYR Current]]%/364*Table13[[#This Row],[Days To Maturity]]),0)</f>
        <v>1315.2</v>
      </c>
      <c r="L235" s="41">
        <f>+Table13[[#This Row],[Bid Accepted]]-Table13[[#This Row],[Amount Offered]]</f>
        <v>1000</v>
      </c>
      <c r="M235" s="57">
        <f>+IF(Table13[[#This Row],[WAYR Last]]&gt;0,IF(Table13[[#This Row],[WAYR Current]]&gt;0,(Table13[[#This Row],[WAYR Current]]-Table13[[#This Row],[WAYR Last]]),""),"")</f>
        <v>-6.9999999999998508E-2</v>
      </c>
      <c r="N235" s="5"/>
      <c r="S235" s="67"/>
      <c r="T235" s="67"/>
      <c r="U235" s="5"/>
      <c r="V235" s="5"/>
      <c r="AG235" s="5"/>
      <c r="AH235" s="13">
        <v>44741</v>
      </c>
      <c r="AI235" s="78">
        <v>77500</v>
      </c>
      <c r="AJ235" s="78">
        <v>112179</v>
      </c>
      <c r="AK235" s="78">
        <v>71169</v>
      </c>
      <c r="AL235" s="78">
        <v>34679</v>
      </c>
      <c r="AM235" s="78">
        <v>-6331</v>
      </c>
      <c r="AN235" s="78">
        <v>23.84</v>
      </c>
      <c r="AO235" s="77">
        <v>-8.1690322580645167E-2</v>
      </c>
      <c r="AP235" s="77"/>
      <c r="AQ235" s="5"/>
      <c r="AR235" s="5"/>
      <c r="AU235" s="78"/>
      <c r="AV235" s="64"/>
      <c r="AX235" s="78"/>
      <c r="AY235" s="13">
        <v>44741</v>
      </c>
    </row>
    <row r="236" spans="1:51" x14ac:dyDescent="0.2">
      <c r="A236" s="9">
        <v>43809</v>
      </c>
      <c r="B236" s="10"/>
      <c r="C236" s="10">
        <v>91</v>
      </c>
      <c r="D236" s="5" t="s">
        <v>20</v>
      </c>
      <c r="E236" s="18">
        <v>1000</v>
      </c>
      <c r="F236" s="18">
        <v>4198</v>
      </c>
      <c r="G236" s="18">
        <v>3387</v>
      </c>
      <c r="H236" s="37">
        <v>7.45</v>
      </c>
      <c r="I236" s="37">
        <v>7.45</v>
      </c>
      <c r="J236" s="12">
        <f t="array" ref="J23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43900</v>
      </c>
      <c r="K236" s="59">
        <f>IFERROR(Table13[[#This Row],[Bid Accepted]]*(Table13[[#This Row],[WAYR Current]]%/364*Table13[[#This Row],[Days To Maturity]]),0)</f>
        <v>63.082874999999994</v>
      </c>
      <c r="L236" s="41">
        <f>+Table13[[#This Row],[Bid Accepted]]-Table13[[#This Row],[Amount Offered]]</f>
        <v>2387</v>
      </c>
      <c r="M236" s="57">
        <f>+IF(Table13[[#This Row],[WAYR Last]]&gt;0,IF(Table13[[#This Row],[WAYR Current]]&gt;0,(Table13[[#This Row],[WAYR Current]]-Table13[[#This Row],[WAYR Last]]),""),"")</f>
        <v>0</v>
      </c>
      <c r="N236" s="5"/>
      <c r="S236" s="67"/>
      <c r="T236" s="67"/>
      <c r="U236" s="5"/>
      <c r="V236" s="5"/>
      <c r="AG236" s="5"/>
      <c r="AH236" s="13">
        <v>44748</v>
      </c>
      <c r="AI236" s="78">
        <v>70000</v>
      </c>
      <c r="AJ236" s="78">
        <v>83866</v>
      </c>
      <c r="AK236" s="78">
        <v>70000</v>
      </c>
      <c r="AL236" s="78">
        <v>13866</v>
      </c>
      <c r="AM236" s="78">
        <v>0</v>
      </c>
      <c r="AN236" s="78">
        <v>28.11</v>
      </c>
      <c r="AO236" s="77">
        <v>0</v>
      </c>
      <c r="AP236" s="77"/>
      <c r="AQ236" s="5"/>
      <c r="AR236" s="5"/>
      <c r="AU236" s="78"/>
      <c r="AV236" s="64"/>
      <c r="AX236" s="78"/>
      <c r="AY236" s="13">
        <v>44748</v>
      </c>
    </row>
    <row r="237" spans="1:51" x14ac:dyDescent="0.2">
      <c r="A237" s="9">
        <v>43809</v>
      </c>
      <c r="B237" s="10"/>
      <c r="C237" s="10">
        <v>182</v>
      </c>
      <c r="D237" s="5" t="s">
        <v>20</v>
      </c>
      <c r="E237" s="18">
        <v>12000</v>
      </c>
      <c r="F237" s="18">
        <v>23338</v>
      </c>
      <c r="G237" s="18">
        <v>13992</v>
      </c>
      <c r="H237" s="37">
        <v>7.65</v>
      </c>
      <c r="I237" s="37">
        <v>7.6</v>
      </c>
      <c r="J237" s="12">
        <f t="array" ref="J23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43992</v>
      </c>
      <c r="K237" s="59">
        <f>IFERROR(Table13[[#This Row],[Bid Accepted]]*(Table13[[#This Row],[WAYR Current]]%/364*Table13[[#This Row],[Days To Maturity]]),0)</f>
        <v>535.19399999999996</v>
      </c>
      <c r="L237" s="41">
        <f>+Table13[[#This Row],[Bid Accepted]]-Table13[[#This Row],[Amount Offered]]</f>
        <v>1992</v>
      </c>
      <c r="M237" s="57">
        <f>+IF(Table13[[#This Row],[WAYR Last]]&gt;0,IF(Table13[[#This Row],[WAYR Current]]&gt;0,(Table13[[#This Row],[WAYR Current]]-Table13[[#This Row],[WAYR Last]]),""),"")</f>
        <v>5.0000000000000711E-2</v>
      </c>
      <c r="N237" s="5"/>
      <c r="S237" s="67"/>
      <c r="T237" s="67"/>
      <c r="U237" s="5"/>
      <c r="V237" s="5"/>
      <c r="AG237" s="5"/>
      <c r="AH237" s="13">
        <v>44754</v>
      </c>
      <c r="AI237" s="78">
        <v>65000</v>
      </c>
      <c r="AJ237" s="78">
        <v>102567</v>
      </c>
      <c r="AK237" s="78">
        <v>53714</v>
      </c>
      <c r="AL237" s="78">
        <v>37567</v>
      </c>
      <c r="AM237" s="78">
        <v>-11286</v>
      </c>
      <c r="AN237" s="78">
        <v>29.87</v>
      </c>
      <c r="AO237" s="77">
        <v>-0.17363076923076923</v>
      </c>
      <c r="AP237" s="77"/>
      <c r="AQ237" s="5"/>
      <c r="AR237" s="5"/>
      <c r="AU237" s="78"/>
      <c r="AV237" s="64"/>
      <c r="AX237" s="78"/>
      <c r="AY237" s="13">
        <v>44754</v>
      </c>
    </row>
    <row r="238" spans="1:51" x14ac:dyDescent="0.2">
      <c r="A238" s="9">
        <v>43809</v>
      </c>
      <c r="B238" s="5"/>
      <c r="C238" s="5">
        <v>364</v>
      </c>
      <c r="D238" s="5" t="s">
        <v>20</v>
      </c>
      <c r="E238" s="14">
        <v>14000</v>
      </c>
      <c r="F238" s="14">
        <v>24460</v>
      </c>
      <c r="G238" s="14">
        <v>9621</v>
      </c>
      <c r="H238" s="33">
        <v>8.23</v>
      </c>
      <c r="I238" s="33">
        <v>8.2200000000000006</v>
      </c>
      <c r="J238" s="55">
        <f t="array" ref="J23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44175</v>
      </c>
      <c r="K238" s="59">
        <f>IFERROR(Table13[[#This Row],[Bid Accepted]]*(Table13[[#This Row],[WAYR Current]]%/364*Table13[[#This Row],[Days To Maturity]]),0)</f>
        <v>791.80830000000003</v>
      </c>
      <c r="L238" s="41">
        <f>+Table13[[#This Row],[Bid Accepted]]-Table13[[#This Row],[Amount Offered]]</f>
        <v>-4379</v>
      </c>
      <c r="M238" s="57">
        <f>+IF(Table13[[#This Row],[WAYR Last]]&gt;0,IF(Table13[[#This Row],[WAYR Current]]&gt;0,(Table13[[#This Row],[WAYR Current]]-Table13[[#This Row],[WAYR Last]]),""),"")</f>
        <v>9.9999999999997868E-3</v>
      </c>
      <c r="N238" s="5"/>
      <c r="S238" s="67"/>
      <c r="T238" s="67"/>
      <c r="U238" s="5"/>
      <c r="V238" s="5"/>
      <c r="AG238" s="5"/>
      <c r="AH238" s="13">
        <v>44762</v>
      </c>
      <c r="AI238" s="78">
        <v>55000</v>
      </c>
      <c r="AJ238" s="78">
        <v>159266</v>
      </c>
      <c r="AK238" s="78">
        <v>55000</v>
      </c>
      <c r="AL238" s="78">
        <v>104266</v>
      </c>
      <c r="AM238" s="78">
        <v>0</v>
      </c>
      <c r="AN238" s="78">
        <v>29.82</v>
      </c>
      <c r="AO238" s="77">
        <v>0</v>
      </c>
      <c r="AP238" s="77"/>
      <c r="AQ238" s="5"/>
      <c r="AR238" s="5"/>
      <c r="AU238" s="78"/>
      <c r="AV238" s="64"/>
      <c r="AX238" s="78"/>
      <c r="AY238" s="13">
        <v>44762</v>
      </c>
    </row>
    <row r="239" spans="1:51" x14ac:dyDescent="0.2">
      <c r="A239" s="9">
        <v>43817</v>
      </c>
      <c r="B239" s="10"/>
      <c r="C239" s="10">
        <v>91</v>
      </c>
      <c r="D239" s="5" t="s">
        <v>20</v>
      </c>
      <c r="E239" s="18">
        <v>2500</v>
      </c>
      <c r="F239" s="18">
        <v>3311</v>
      </c>
      <c r="G239" s="18">
        <v>511</v>
      </c>
      <c r="H239" s="33">
        <v>7.51</v>
      </c>
      <c r="I239" s="33">
        <v>7.45</v>
      </c>
      <c r="J239" s="12">
        <f t="array" ref="J23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43908</v>
      </c>
      <c r="K239" s="59">
        <f>IFERROR(Table13[[#This Row],[Bid Accepted]]*(Table13[[#This Row],[WAYR Current]]%/364*Table13[[#This Row],[Days To Maturity]]),0)</f>
        <v>9.5940250000000002</v>
      </c>
      <c r="L239" s="41">
        <f>+Table13[[#This Row],[Bid Accepted]]-Table13[[#This Row],[Amount Offered]]</f>
        <v>-1989</v>
      </c>
      <c r="M239" s="57">
        <f>+IF(Table13[[#This Row],[WAYR Last]]&gt;0,IF(Table13[[#This Row],[WAYR Current]]&gt;0,(Table13[[#This Row],[WAYR Current]]-Table13[[#This Row],[WAYR Last]]),""),"")</f>
        <v>5.9999999999999609E-2</v>
      </c>
      <c r="N239" s="5"/>
      <c r="S239" s="67"/>
      <c r="T239" s="67"/>
      <c r="U239" s="5"/>
      <c r="V239" s="5"/>
      <c r="AG239" s="5"/>
      <c r="AH239" s="13">
        <v>44769</v>
      </c>
      <c r="AI239" s="78">
        <v>85000</v>
      </c>
      <c r="AJ239" s="78">
        <v>183559</v>
      </c>
      <c r="AK239" s="78">
        <v>85000</v>
      </c>
      <c r="AL239" s="78">
        <v>98559</v>
      </c>
      <c r="AM239" s="78">
        <v>0</v>
      </c>
      <c r="AN239" s="78">
        <v>29.53</v>
      </c>
      <c r="AO239" s="77">
        <v>0</v>
      </c>
      <c r="AP239" s="77"/>
      <c r="AQ239" s="5"/>
      <c r="AR239" s="5"/>
      <c r="AU239" s="78"/>
      <c r="AV239" s="64"/>
      <c r="AX239" s="78"/>
      <c r="AY239" s="13">
        <v>44769</v>
      </c>
    </row>
    <row r="240" spans="1:51" x14ac:dyDescent="0.2">
      <c r="A240" s="9">
        <v>43817</v>
      </c>
      <c r="B240" s="10"/>
      <c r="C240" s="10">
        <v>182</v>
      </c>
      <c r="D240" s="5" t="s">
        <v>20</v>
      </c>
      <c r="E240" s="18">
        <v>10000</v>
      </c>
      <c r="F240" s="18">
        <v>14126</v>
      </c>
      <c r="G240" s="18">
        <v>3884</v>
      </c>
      <c r="H240" s="33">
        <v>7.97</v>
      </c>
      <c r="I240" s="33">
        <v>7.65</v>
      </c>
      <c r="J240" s="12">
        <f t="array" ref="J24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44000</v>
      </c>
      <c r="K240" s="59">
        <f>IFERROR(Table13[[#This Row],[Bid Accepted]]*(Table13[[#This Row],[WAYR Current]]%/364*Table13[[#This Row],[Days To Maturity]]),0)</f>
        <v>154.7774</v>
      </c>
      <c r="L240" s="41">
        <f>+Table13[[#This Row],[Bid Accepted]]-Table13[[#This Row],[Amount Offered]]</f>
        <v>-6116</v>
      </c>
      <c r="M240" s="57">
        <f>+IF(Table13[[#This Row],[WAYR Last]]&gt;0,IF(Table13[[#This Row],[WAYR Current]]&gt;0,(Table13[[#This Row],[WAYR Current]]-Table13[[#This Row],[WAYR Last]]),""),"")</f>
        <v>0.3199999999999994</v>
      </c>
      <c r="N240" s="5"/>
      <c r="S240" s="67"/>
      <c r="T240" s="67"/>
      <c r="U240" s="5"/>
      <c r="V240" s="5"/>
      <c r="AG240" s="5"/>
      <c r="AH240" s="13">
        <v>44776</v>
      </c>
      <c r="AI240" s="78">
        <v>87500</v>
      </c>
      <c r="AJ240" s="78">
        <v>190700</v>
      </c>
      <c r="AK240" s="78">
        <v>87500</v>
      </c>
      <c r="AL240" s="78">
        <v>103200</v>
      </c>
      <c r="AM240" s="78">
        <v>0</v>
      </c>
      <c r="AN240" s="78">
        <v>29.19</v>
      </c>
      <c r="AO240" s="77">
        <v>0</v>
      </c>
      <c r="AP240" s="77"/>
      <c r="AQ240" s="5"/>
      <c r="AR240" s="5"/>
      <c r="AU240" s="78"/>
      <c r="AV240" s="64"/>
      <c r="AX240" s="78"/>
      <c r="AY240" s="13">
        <v>44776</v>
      </c>
    </row>
    <row r="241" spans="1:51" x14ac:dyDescent="0.2">
      <c r="A241" s="9">
        <v>43817</v>
      </c>
      <c r="B241" s="5"/>
      <c r="C241" s="5">
        <v>364</v>
      </c>
      <c r="D241" s="5" t="s">
        <v>20</v>
      </c>
      <c r="E241" s="14">
        <v>12500</v>
      </c>
      <c r="F241" s="14">
        <v>23390</v>
      </c>
      <c r="G241" s="14">
        <v>13614</v>
      </c>
      <c r="H241" s="33">
        <v>8.4499999999999993</v>
      </c>
      <c r="I241" s="33">
        <v>8.23</v>
      </c>
      <c r="J241" s="55">
        <f t="array" ref="J24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44183</v>
      </c>
      <c r="K241" s="59">
        <f>IFERROR(Table13[[#This Row],[Bid Accepted]]*(Table13[[#This Row],[WAYR Current]]%/364*Table13[[#This Row],[Days To Maturity]]),0)</f>
        <v>1150.3829999999998</v>
      </c>
      <c r="L241" s="41">
        <f>+Table13[[#This Row],[Bid Accepted]]-Table13[[#This Row],[Amount Offered]]</f>
        <v>1114</v>
      </c>
      <c r="M241" s="57">
        <f>+IF(Table13[[#This Row],[WAYR Last]]&gt;0,IF(Table13[[#This Row],[WAYR Current]]&gt;0,(Table13[[#This Row],[WAYR Current]]-Table13[[#This Row],[WAYR Last]]),""),"")</f>
        <v>0.21999999999999886</v>
      </c>
      <c r="N241" s="5"/>
      <c r="S241" s="67"/>
      <c r="T241" s="67"/>
      <c r="U241" s="5"/>
      <c r="V241" s="5"/>
      <c r="AG241" s="5"/>
      <c r="AH241" s="13">
        <v>44782</v>
      </c>
      <c r="AI241" s="78">
        <v>85000</v>
      </c>
      <c r="AJ241" s="78">
        <v>128635</v>
      </c>
      <c r="AK241" s="78">
        <v>65899</v>
      </c>
      <c r="AL241" s="78">
        <v>43635</v>
      </c>
      <c r="AM241" s="78">
        <v>-19101</v>
      </c>
      <c r="AN241" s="78">
        <v>29.15</v>
      </c>
      <c r="AO241" s="77">
        <v>-0.22471764705882352</v>
      </c>
      <c r="AP241" s="77"/>
      <c r="AQ241" s="5"/>
      <c r="AR241" s="5"/>
      <c r="AU241" s="78"/>
      <c r="AV241" s="64"/>
      <c r="AX241" s="78"/>
      <c r="AY241" s="13">
        <v>44782</v>
      </c>
    </row>
    <row r="242" spans="1:51" x14ac:dyDescent="0.2">
      <c r="A242" s="9">
        <v>43823</v>
      </c>
      <c r="B242" s="10"/>
      <c r="C242" s="10">
        <v>91</v>
      </c>
      <c r="D242" s="5" t="s">
        <v>20</v>
      </c>
      <c r="E242" s="18">
        <v>1000</v>
      </c>
      <c r="F242" s="18">
        <v>7072</v>
      </c>
      <c r="G242" s="18">
        <v>1315</v>
      </c>
      <c r="H242" s="33">
        <v>7.51</v>
      </c>
      <c r="I242" s="33">
        <v>7.51</v>
      </c>
      <c r="J242" s="12">
        <f t="array" ref="J24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43914</v>
      </c>
      <c r="K242" s="59">
        <f>IFERROR(Table13[[#This Row],[Bid Accepted]]*(Table13[[#This Row],[WAYR Current]]%/364*Table13[[#This Row],[Days To Maturity]]),0)</f>
        <v>24.689125000000001</v>
      </c>
      <c r="L242" s="41">
        <f>+Table13[[#This Row],[Bid Accepted]]-Table13[[#This Row],[Amount Offered]]</f>
        <v>315</v>
      </c>
      <c r="M242" s="57">
        <f>+IF(Table13[[#This Row],[WAYR Last]]&gt;0,IF(Table13[[#This Row],[WAYR Current]]&gt;0,(Table13[[#This Row],[WAYR Current]]-Table13[[#This Row],[WAYR Last]]),""),"")</f>
        <v>0</v>
      </c>
      <c r="N242" s="5"/>
      <c r="S242" s="67"/>
      <c r="T242" s="67"/>
      <c r="U242" s="5"/>
      <c r="V242" s="5"/>
      <c r="AG242" s="5"/>
      <c r="AH242" s="13">
        <v>44790</v>
      </c>
      <c r="AI242" s="78">
        <v>60000</v>
      </c>
      <c r="AJ242" s="78">
        <v>104824</v>
      </c>
      <c r="AK242" s="78">
        <v>60000</v>
      </c>
      <c r="AL242" s="78">
        <v>44824</v>
      </c>
      <c r="AM242" s="78">
        <v>0</v>
      </c>
      <c r="AN242" s="78">
        <v>29.14</v>
      </c>
      <c r="AO242" s="77">
        <v>0</v>
      </c>
      <c r="AP242" s="77"/>
      <c r="AQ242" s="5"/>
      <c r="AR242" s="5"/>
      <c r="AU242" s="78"/>
      <c r="AV242" s="64"/>
      <c r="AX242" s="78"/>
      <c r="AY242" s="13">
        <v>44790</v>
      </c>
    </row>
    <row r="243" spans="1:51" x14ac:dyDescent="0.2">
      <c r="A243" s="9">
        <v>43823</v>
      </c>
      <c r="B243" s="10"/>
      <c r="C243" s="10">
        <v>182</v>
      </c>
      <c r="D243" s="5" t="s">
        <v>20</v>
      </c>
      <c r="E243" s="18">
        <v>5000</v>
      </c>
      <c r="F243" s="18">
        <v>19762</v>
      </c>
      <c r="G243" s="18">
        <v>10985</v>
      </c>
      <c r="H243" s="33">
        <v>8.02</v>
      </c>
      <c r="I243" s="33">
        <v>7.97</v>
      </c>
      <c r="J243" s="12">
        <f t="array" ref="J24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44006</v>
      </c>
      <c r="K243" s="59">
        <f>IFERROR(Table13[[#This Row],[Bid Accepted]]*(Table13[[#This Row],[WAYR Current]]%/364*Table13[[#This Row],[Days To Maturity]]),0)</f>
        <v>440.49849999999998</v>
      </c>
      <c r="L243" s="41">
        <f>+Table13[[#This Row],[Bid Accepted]]-Table13[[#This Row],[Amount Offered]]</f>
        <v>5985</v>
      </c>
      <c r="M243" s="57">
        <f>+IF(Table13[[#This Row],[WAYR Last]]&gt;0,IF(Table13[[#This Row],[WAYR Current]]&gt;0,(Table13[[#This Row],[WAYR Current]]-Table13[[#This Row],[WAYR Last]]),""),"")</f>
        <v>4.9999999999999822E-2</v>
      </c>
      <c r="N243" s="5"/>
      <c r="S243" s="67"/>
      <c r="T243" s="67"/>
      <c r="U243" s="5"/>
      <c r="V243" s="5"/>
      <c r="AG243" s="5"/>
      <c r="AH243" s="13">
        <v>44797</v>
      </c>
      <c r="AI243" s="78">
        <v>90000</v>
      </c>
      <c r="AJ243" s="78">
        <v>108899</v>
      </c>
      <c r="AK243" s="78">
        <v>56713</v>
      </c>
      <c r="AL243" s="78">
        <v>18899</v>
      </c>
      <c r="AM243" s="78">
        <v>-33287</v>
      </c>
      <c r="AN243" s="78">
        <v>29.83</v>
      </c>
      <c r="AO243" s="77">
        <v>-0.36985555555555555</v>
      </c>
      <c r="AP243" s="77"/>
      <c r="AQ243" s="5"/>
      <c r="AR243" s="5"/>
      <c r="AU243" s="78"/>
      <c r="AV243" s="64"/>
      <c r="AX243" s="78"/>
      <c r="AY243" s="13">
        <v>44797</v>
      </c>
    </row>
    <row r="244" spans="1:51" x14ac:dyDescent="0.2">
      <c r="A244" s="9">
        <v>43823</v>
      </c>
      <c r="B244" s="5"/>
      <c r="C244" s="5">
        <v>364</v>
      </c>
      <c r="D244" s="5" t="s">
        <v>20</v>
      </c>
      <c r="E244" s="14">
        <v>7500</v>
      </c>
      <c r="F244" s="14">
        <v>16392</v>
      </c>
      <c r="G244" s="14">
        <v>1200</v>
      </c>
      <c r="H244" s="33">
        <v>8.4499999999999993</v>
      </c>
      <c r="I244" s="33">
        <v>8.4499999999999993</v>
      </c>
      <c r="J244" s="55">
        <f t="array" ref="J24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44189</v>
      </c>
      <c r="K244" s="59">
        <f>IFERROR(Table13[[#This Row],[Bid Accepted]]*(Table13[[#This Row],[WAYR Current]]%/364*Table13[[#This Row],[Days To Maturity]]),0)</f>
        <v>101.39999999999999</v>
      </c>
      <c r="L244" s="41">
        <f>+Table13[[#This Row],[Bid Accepted]]-Table13[[#This Row],[Amount Offered]]</f>
        <v>-6300</v>
      </c>
      <c r="M244" s="57">
        <f>+IF(Table13[[#This Row],[WAYR Last]]&gt;0,IF(Table13[[#This Row],[WAYR Current]]&gt;0,(Table13[[#This Row],[WAYR Current]]-Table13[[#This Row],[WAYR Last]]),""),"")</f>
        <v>0</v>
      </c>
      <c r="N244" s="5"/>
      <c r="S244" s="67"/>
      <c r="T244" s="67"/>
      <c r="U244" s="5"/>
      <c r="V244" s="5"/>
      <c r="AG244" s="5"/>
      <c r="AH244" s="13">
        <v>44804</v>
      </c>
      <c r="AI244" s="78">
        <v>67500</v>
      </c>
      <c r="AJ244" s="78">
        <v>95762</v>
      </c>
      <c r="AK244" s="78">
        <v>49531</v>
      </c>
      <c r="AL244" s="78">
        <v>28262</v>
      </c>
      <c r="AM244" s="78">
        <v>-17969</v>
      </c>
      <c r="AN244" s="78">
        <v>30.5</v>
      </c>
      <c r="AO244" s="77">
        <v>-0.26620740740740739</v>
      </c>
      <c r="AP244" s="77"/>
      <c r="AQ244" s="5"/>
      <c r="AR244" s="5"/>
      <c r="AU244" s="78"/>
      <c r="AV244" s="64"/>
      <c r="AX244" s="78"/>
      <c r="AY244" s="13">
        <v>44804</v>
      </c>
    </row>
    <row r="245" spans="1:51" x14ac:dyDescent="0.2">
      <c r="A245" s="9">
        <v>43831</v>
      </c>
      <c r="B245" s="5"/>
      <c r="C245" s="10">
        <v>91</v>
      </c>
      <c r="D245" s="5" t="s">
        <v>20</v>
      </c>
      <c r="E245" s="14">
        <v>2000</v>
      </c>
      <c r="F245" s="14">
        <v>5301</v>
      </c>
      <c r="G245" s="18">
        <v>0</v>
      </c>
      <c r="H245" s="33">
        <v>0</v>
      </c>
      <c r="I245" s="33">
        <v>7.51</v>
      </c>
      <c r="J245" s="55">
        <f t="array" ref="J24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43922</v>
      </c>
      <c r="K245" s="59">
        <f>IFERROR(Table13[[#This Row],[Bid Accepted]]*(Table13[[#This Row],[WAYR Current]]%/364*Table13[[#This Row],[Days To Maturity]]),0)</f>
        <v>0</v>
      </c>
      <c r="L245" s="41">
        <f>+Table13[[#This Row],[Bid Accepted]]-Table13[[#This Row],[Amount Offered]]</f>
        <v>-2000</v>
      </c>
      <c r="M245" s="57" t="str">
        <f>+IF(Table13[[#This Row],[WAYR Last]]&gt;0,IF(Table13[[#This Row],[WAYR Current]]&gt;0,(Table13[[#This Row],[WAYR Current]]-Table13[[#This Row],[WAYR Last]]),""),"")</f>
        <v/>
      </c>
      <c r="N245" s="5"/>
      <c r="S245" s="67"/>
      <c r="T245" s="67"/>
      <c r="U245" s="5"/>
      <c r="V245" s="5"/>
      <c r="AG245" s="5"/>
      <c r="AH245" s="13">
        <v>44811</v>
      </c>
      <c r="AI245" s="78">
        <v>75000</v>
      </c>
      <c r="AJ245" s="78">
        <v>106432</v>
      </c>
      <c r="AK245" s="78">
        <v>10270</v>
      </c>
      <c r="AL245" s="78">
        <v>31432</v>
      </c>
      <c r="AM245" s="78">
        <v>-64730</v>
      </c>
      <c r="AN245" s="78">
        <v>30.5</v>
      </c>
      <c r="AO245" s="77">
        <v>-0.86306666666666665</v>
      </c>
      <c r="AP245" s="77"/>
      <c r="AQ245" s="5"/>
      <c r="AR245" s="5"/>
      <c r="AU245" s="78"/>
      <c r="AV245" s="64"/>
      <c r="AX245" s="78"/>
      <c r="AY245" s="13">
        <v>44811</v>
      </c>
    </row>
    <row r="246" spans="1:51" x14ac:dyDescent="0.2">
      <c r="A246" s="9">
        <v>43831</v>
      </c>
      <c r="B246" s="5"/>
      <c r="C246" s="10">
        <v>182</v>
      </c>
      <c r="D246" s="5" t="s">
        <v>20</v>
      </c>
      <c r="E246" s="14">
        <v>9000</v>
      </c>
      <c r="F246" s="14">
        <v>17783</v>
      </c>
      <c r="G246" s="18">
        <v>3145</v>
      </c>
      <c r="H246" s="33">
        <v>8.02</v>
      </c>
      <c r="I246" s="33">
        <v>8.02</v>
      </c>
      <c r="J246" s="55">
        <f t="array" ref="J24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44013</v>
      </c>
      <c r="K246" s="59">
        <f>IFERROR(Table13[[#This Row],[Bid Accepted]]*(Table13[[#This Row],[WAYR Current]]%/364*Table13[[#This Row],[Days To Maturity]]),0)</f>
        <v>126.11449999999999</v>
      </c>
      <c r="L246" s="41">
        <f>+Table13[[#This Row],[Bid Accepted]]-Table13[[#This Row],[Amount Offered]]</f>
        <v>-5855</v>
      </c>
      <c r="M246" s="57">
        <f>+IF(Table13[[#This Row],[WAYR Last]]&gt;0,IF(Table13[[#This Row],[WAYR Current]]&gt;0,(Table13[[#This Row],[WAYR Current]]-Table13[[#This Row],[WAYR Last]]),""),"")</f>
        <v>0</v>
      </c>
      <c r="N246" s="5"/>
      <c r="S246" s="67"/>
      <c r="T246" s="67"/>
      <c r="U246" s="5"/>
      <c r="V246" s="5"/>
      <c r="AG246" s="5"/>
      <c r="AH246" s="13">
        <v>44818</v>
      </c>
      <c r="AI246" s="78">
        <v>80000</v>
      </c>
      <c r="AJ246" s="78">
        <v>182723</v>
      </c>
      <c r="AK246" s="78">
        <v>80000</v>
      </c>
      <c r="AL246" s="78">
        <v>102723</v>
      </c>
      <c r="AM246" s="78">
        <v>0</v>
      </c>
      <c r="AN246" s="78">
        <v>30.26</v>
      </c>
      <c r="AO246" s="77">
        <v>0</v>
      </c>
      <c r="AP246" s="77"/>
      <c r="AQ246" s="5"/>
      <c r="AR246" s="5"/>
      <c r="AU246" s="78"/>
      <c r="AV246" s="64"/>
      <c r="AX246" s="78"/>
      <c r="AY246" s="13">
        <v>44818</v>
      </c>
    </row>
    <row r="247" spans="1:51" x14ac:dyDescent="0.2">
      <c r="A247" s="9">
        <v>43831</v>
      </c>
      <c r="B247" s="5"/>
      <c r="C247" s="5">
        <v>364</v>
      </c>
      <c r="D247" s="5" t="s">
        <v>20</v>
      </c>
      <c r="E247" s="14">
        <v>14000</v>
      </c>
      <c r="F247" s="14">
        <v>38530</v>
      </c>
      <c r="G247" s="14">
        <v>21855</v>
      </c>
      <c r="H247" s="33">
        <v>8.4499999999999993</v>
      </c>
      <c r="I247" s="33">
        <v>8.4499999999999993</v>
      </c>
      <c r="J247" s="55">
        <f t="array" ref="J24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44197</v>
      </c>
      <c r="K247" s="59">
        <f>IFERROR(Table13[[#This Row],[Bid Accepted]]*(Table13[[#This Row],[WAYR Current]]%/364*Table13[[#This Row],[Days To Maturity]]),0)</f>
        <v>1846.7474999999997</v>
      </c>
      <c r="L247" s="41">
        <f>+Table13[[#This Row],[Bid Accepted]]-Table13[[#This Row],[Amount Offered]]</f>
        <v>7855</v>
      </c>
      <c r="M247" s="57">
        <f>+IF(Table13[[#This Row],[WAYR Last]]&gt;0,IF(Table13[[#This Row],[WAYR Current]]&gt;0,(Table13[[#This Row],[WAYR Current]]-Table13[[#This Row],[WAYR Last]]),""),"")</f>
        <v>0</v>
      </c>
      <c r="N247" s="5"/>
      <c r="S247" s="67"/>
      <c r="T247" s="67"/>
      <c r="U247" s="5"/>
      <c r="V247" s="5"/>
      <c r="AG247" s="5"/>
      <c r="AH247" s="13">
        <v>44825</v>
      </c>
      <c r="AI247" s="78">
        <v>65000</v>
      </c>
      <c r="AJ247" s="78">
        <v>142646</v>
      </c>
      <c r="AK247" s="78">
        <v>65000</v>
      </c>
      <c r="AL247" s="78">
        <v>77646</v>
      </c>
      <c r="AM247" s="78">
        <v>0</v>
      </c>
      <c r="AN247" s="78">
        <v>29.87</v>
      </c>
      <c r="AO247" s="77">
        <v>0</v>
      </c>
      <c r="AP247" s="77"/>
      <c r="AQ247" s="5"/>
      <c r="AR247" s="5"/>
      <c r="AU247" s="78"/>
      <c r="AV247" s="64"/>
      <c r="AX247" s="78"/>
      <c r="AY247" s="13">
        <v>44825</v>
      </c>
    </row>
    <row r="248" spans="1:51" x14ac:dyDescent="0.2">
      <c r="A248" s="9">
        <v>43837</v>
      </c>
      <c r="B248" s="5"/>
      <c r="C248" s="10">
        <v>91</v>
      </c>
      <c r="D248" s="5" t="s">
        <v>20</v>
      </c>
      <c r="E248" s="14">
        <v>2000</v>
      </c>
      <c r="F248" s="14">
        <v>2667</v>
      </c>
      <c r="G248" s="14">
        <v>100</v>
      </c>
      <c r="H248" s="33">
        <v>7.5</v>
      </c>
      <c r="I248" s="33">
        <v>0</v>
      </c>
      <c r="J248" s="55">
        <f t="array" ref="J248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43928</v>
      </c>
      <c r="K248" s="59">
        <f>IFERROR(Table13[[#This Row],[Bid Accepted]]*(Table13[[#This Row],[WAYR Current]]%/364*Table13[[#This Row],[Days To Maturity]]),0)</f>
        <v>1.875</v>
      </c>
      <c r="L248" s="41">
        <f>+Table13[[#This Row],[Bid Accepted]]-Table13[[#This Row],[Amount Offered]]</f>
        <v>-1900</v>
      </c>
      <c r="M248" s="57" t="str">
        <f>+IF(Table13[[#This Row],[WAYR Last]]&gt;0,IF(Table13[[#This Row],[WAYR Current]]&gt;0,(Table13[[#This Row],[WAYR Current]]-Table13[[#This Row],[WAYR Last]]),""),"")</f>
        <v/>
      </c>
      <c r="N248" s="5"/>
      <c r="S248" s="67"/>
      <c r="T248" s="67"/>
      <c r="U248" s="5"/>
      <c r="V248" s="5"/>
      <c r="AG248" s="5"/>
      <c r="AH248" s="13">
        <v>44832</v>
      </c>
      <c r="AI248" s="78">
        <v>85000</v>
      </c>
      <c r="AJ248" s="78">
        <v>151766</v>
      </c>
      <c r="AK248" s="78">
        <v>81680</v>
      </c>
      <c r="AL248" s="78">
        <v>66766</v>
      </c>
      <c r="AM248" s="78">
        <v>-3320</v>
      </c>
      <c r="AN248" s="78">
        <v>29.85</v>
      </c>
      <c r="AO248" s="77">
        <v>-3.9058823529411764E-2</v>
      </c>
      <c r="AP248" s="77"/>
      <c r="AQ248" s="5"/>
      <c r="AR248" s="5"/>
      <c r="AU248" s="78"/>
      <c r="AV248" s="64"/>
      <c r="AX248" s="78"/>
      <c r="AY248" s="13">
        <v>44832</v>
      </c>
    </row>
    <row r="249" spans="1:51" x14ac:dyDescent="0.2">
      <c r="A249" s="9">
        <v>43837</v>
      </c>
      <c r="B249" s="5"/>
      <c r="C249" s="10">
        <v>182</v>
      </c>
      <c r="D249" s="5" t="s">
        <v>20</v>
      </c>
      <c r="E249" s="14">
        <v>7000</v>
      </c>
      <c r="F249" s="14">
        <v>10090</v>
      </c>
      <c r="G249" s="14">
        <v>4085</v>
      </c>
      <c r="H249" s="33">
        <v>8.1300000000000008</v>
      </c>
      <c r="I249" s="33">
        <v>8.02</v>
      </c>
      <c r="J249" s="55">
        <f t="array" ref="J24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44019</v>
      </c>
      <c r="K249" s="59">
        <f>IFERROR(Table13[[#This Row],[Bid Accepted]]*(Table13[[#This Row],[WAYR Current]]%/364*Table13[[#This Row],[Days To Maturity]]),0)</f>
        <v>166.05525000000003</v>
      </c>
      <c r="L249" s="41">
        <f>+Table13[[#This Row],[Bid Accepted]]-Table13[[#This Row],[Amount Offered]]</f>
        <v>-2915</v>
      </c>
      <c r="M249" s="57">
        <f>+IF(Table13[[#This Row],[WAYR Last]]&gt;0,IF(Table13[[#This Row],[WAYR Current]]&gt;0,(Table13[[#This Row],[WAYR Current]]-Table13[[#This Row],[WAYR Last]]),""),"")</f>
        <v>0.11000000000000121</v>
      </c>
      <c r="N249" s="5"/>
      <c r="S249" s="67"/>
      <c r="T249" s="67"/>
      <c r="U249" s="5"/>
      <c r="V249" s="5"/>
      <c r="AG249" s="5"/>
      <c r="AH249" s="13">
        <v>44839</v>
      </c>
      <c r="AI249" s="78">
        <v>85000</v>
      </c>
      <c r="AJ249" s="78">
        <v>145431</v>
      </c>
      <c r="AK249" s="78">
        <v>85000</v>
      </c>
      <c r="AL249" s="78">
        <v>60431</v>
      </c>
      <c r="AM249" s="78">
        <v>0</v>
      </c>
      <c r="AN249" s="78">
        <v>29.75</v>
      </c>
      <c r="AO249" s="77">
        <v>0</v>
      </c>
      <c r="AP249" s="77"/>
      <c r="AQ249" s="5"/>
      <c r="AR249" s="5"/>
      <c r="AU249" s="78"/>
      <c r="AV249" s="64"/>
      <c r="AX249" s="78"/>
      <c r="AY249" s="13">
        <v>44839</v>
      </c>
    </row>
    <row r="250" spans="1:51" x14ac:dyDescent="0.2">
      <c r="A250" s="9">
        <v>43837</v>
      </c>
      <c r="B250" s="5"/>
      <c r="C250" s="5">
        <v>364</v>
      </c>
      <c r="D250" s="5" t="s">
        <v>20</v>
      </c>
      <c r="E250" s="14">
        <v>16000</v>
      </c>
      <c r="F250" s="14">
        <v>35075</v>
      </c>
      <c r="G250" s="14">
        <v>20815</v>
      </c>
      <c r="H250" s="33">
        <v>8.52</v>
      </c>
      <c r="I250" s="33">
        <v>8.4499999999999993</v>
      </c>
      <c r="J250" s="55">
        <f t="array" ref="J25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44203</v>
      </c>
      <c r="K250" s="59">
        <f>IFERROR(Table13[[#This Row],[Bid Accepted]]*(Table13[[#This Row],[WAYR Current]]%/364*Table13[[#This Row],[Days To Maturity]]),0)</f>
        <v>1773.4379999999999</v>
      </c>
      <c r="L250" s="41">
        <f>+Table13[[#This Row],[Bid Accepted]]-Table13[[#This Row],[Amount Offered]]</f>
        <v>4815</v>
      </c>
      <c r="M250" s="57">
        <f>+IF(Table13[[#This Row],[WAYR Last]]&gt;0,IF(Table13[[#This Row],[WAYR Current]]&gt;0,(Table13[[#This Row],[WAYR Current]]-Table13[[#This Row],[WAYR Last]]),""),"")</f>
        <v>7.0000000000000284E-2</v>
      </c>
      <c r="N250" s="5"/>
      <c r="S250" s="67"/>
      <c r="T250" s="67"/>
      <c r="U250" s="5"/>
      <c r="V250" s="5"/>
      <c r="AG250" s="5"/>
      <c r="AH250" s="13">
        <v>44846</v>
      </c>
      <c r="AI250" s="78">
        <v>90000</v>
      </c>
      <c r="AJ250" s="78">
        <v>130930</v>
      </c>
      <c r="AK250" s="78">
        <v>60307</v>
      </c>
      <c r="AL250" s="78">
        <v>40930</v>
      </c>
      <c r="AM250" s="78">
        <v>-29693</v>
      </c>
      <c r="AN250" s="78">
        <v>29.6</v>
      </c>
      <c r="AO250" s="77">
        <v>-0.32992222222222223</v>
      </c>
      <c r="AP250" s="77"/>
      <c r="AQ250" s="5"/>
      <c r="AR250" s="5"/>
      <c r="AU250" s="78"/>
      <c r="AV250" s="64"/>
      <c r="AX250" s="78"/>
      <c r="AY250" s="13">
        <v>44846</v>
      </c>
    </row>
    <row r="251" spans="1:51" x14ac:dyDescent="0.2">
      <c r="A251" s="9">
        <v>43844</v>
      </c>
      <c r="B251" s="5"/>
      <c r="C251" s="10">
        <v>91</v>
      </c>
      <c r="D251" s="5" t="s">
        <v>20</v>
      </c>
      <c r="E251" s="14">
        <v>4000</v>
      </c>
      <c r="F251" s="14">
        <v>5102</v>
      </c>
      <c r="G251" s="14">
        <v>0</v>
      </c>
      <c r="H251" s="33">
        <v>0</v>
      </c>
      <c r="I251" s="33">
        <v>7.5</v>
      </c>
      <c r="J251" s="55">
        <f t="array" ref="J251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43935</v>
      </c>
      <c r="K251" s="59">
        <f>IFERROR(Table13[[#This Row],[Bid Accepted]]*(Table13[[#This Row],[WAYR Current]]%/364*Table13[[#This Row],[Days To Maturity]]),0)</f>
        <v>0</v>
      </c>
      <c r="L251" s="41">
        <f>+Table13[[#This Row],[Bid Accepted]]-Table13[[#This Row],[Amount Offered]]</f>
        <v>-4000</v>
      </c>
      <c r="M251" s="57" t="str">
        <f>+IF(Table13[[#This Row],[WAYR Last]]&gt;0,IF(Table13[[#This Row],[WAYR Current]]&gt;0,(Table13[[#This Row],[WAYR Current]]-Table13[[#This Row],[WAYR Last]]),""),"")</f>
        <v/>
      </c>
      <c r="N251" s="5"/>
      <c r="S251" s="67"/>
      <c r="T251" s="67"/>
      <c r="U251" s="5"/>
      <c r="V251" s="5"/>
      <c r="AG251" s="5"/>
      <c r="AH251" s="13">
        <v>44853</v>
      </c>
      <c r="AI251" s="78">
        <v>75000</v>
      </c>
      <c r="AJ251" s="78">
        <v>108780</v>
      </c>
      <c r="AK251" s="78">
        <v>16123</v>
      </c>
      <c r="AL251" s="78">
        <v>33780</v>
      </c>
      <c r="AM251" s="78">
        <v>-58877</v>
      </c>
      <c r="AN251" s="78">
        <v>29.6</v>
      </c>
      <c r="AO251" s="77">
        <v>-0.78502666666666665</v>
      </c>
      <c r="AP251" s="77"/>
      <c r="AQ251" s="5"/>
      <c r="AR251" s="5"/>
      <c r="AU251" s="78"/>
      <c r="AV251" s="64"/>
      <c r="AX251" s="78"/>
      <c r="AY251" s="13">
        <v>44853</v>
      </c>
    </row>
    <row r="252" spans="1:51" x14ac:dyDescent="0.2">
      <c r="A252" s="9">
        <v>43844</v>
      </c>
      <c r="B252" s="5"/>
      <c r="C252" s="10">
        <v>182</v>
      </c>
      <c r="D252" s="5" t="s">
        <v>20</v>
      </c>
      <c r="E252" s="14">
        <v>5000</v>
      </c>
      <c r="F252" s="14">
        <v>11988</v>
      </c>
      <c r="G252" s="14">
        <v>3355</v>
      </c>
      <c r="H252" s="33">
        <v>8.1300000000000008</v>
      </c>
      <c r="I252" s="33">
        <v>8.1300000000000008</v>
      </c>
      <c r="J252" s="55">
        <f t="array" ref="J25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44026</v>
      </c>
      <c r="K252" s="59">
        <f>IFERROR(Table13[[#This Row],[Bid Accepted]]*(Table13[[#This Row],[WAYR Current]]%/364*Table13[[#This Row],[Days To Maturity]]),0)</f>
        <v>136.38075000000001</v>
      </c>
      <c r="L252" s="41">
        <f>+Table13[[#This Row],[Bid Accepted]]-Table13[[#This Row],[Amount Offered]]</f>
        <v>-1645</v>
      </c>
      <c r="M252" s="57">
        <f>+IF(Table13[[#This Row],[WAYR Last]]&gt;0,IF(Table13[[#This Row],[WAYR Current]]&gt;0,(Table13[[#This Row],[WAYR Current]]-Table13[[#This Row],[WAYR Last]]),""),"")</f>
        <v>0</v>
      </c>
      <c r="N252" s="5"/>
      <c r="S252" s="67"/>
      <c r="T252" s="67"/>
      <c r="U252" s="5"/>
      <c r="V252" s="5"/>
      <c r="AG252" s="5"/>
      <c r="AH252" s="13">
        <v>44921</v>
      </c>
      <c r="AI252" s="78">
        <v>80000</v>
      </c>
      <c r="AJ252" s="78">
        <v>140629</v>
      </c>
      <c r="AK252" s="78">
        <v>69644</v>
      </c>
      <c r="AL252" s="78">
        <v>60629</v>
      </c>
      <c r="AM252" s="78">
        <v>-10356</v>
      </c>
      <c r="AN252" s="78">
        <v>29.6</v>
      </c>
      <c r="AO252" s="77">
        <v>-0.12945000000000001</v>
      </c>
      <c r="AP252" s="77"/>
      <c r="AQ252" s="5"/>
      <c r="AR252" s="5"/>
      <c r="AU252" s="78"/>
      <c r="AV252" s="64"/>
      <c r="AX252" s="78"/>
      <c r="AY252" s="13">
        <v>44921</v>
      </c>
    </row>
    <row r="253" spans="1:51" x14ac:dyDescent="0.2">
      <c r="A253" s="9">
        <v>43844</v>
      </c>
      <c r="B253" s="10"/>
      <c r="C253" s="5">
        <v>364</v>
      </c>
      <c r="D253" s="5" t="s">
        <v>20</v>
      </c>
      <c r="E253" s="14">
        <v>16000</v>
      </c>
      <c r="F253" s="14">
        <v>38666</v>
      </c>
      <c r="G253" s="14">
        <v>21645</v>
      </c>
      <c r="H253" s="33">
        <v>8.58</v>
      </c>
      <c r="I253" s="33">
        <v>8.52</v>
      </c>
      <c r="J253" s="12">
        <f t="array" ref="J25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44210</v>
      </c>
      <c r="K253" s="59">
        <f>IFERROR(Table13[[#This Row],[Bid Accepted]]*(Table13[[#This Row],[WAYR Current]]%/364*Table13[[#This Row],[Days To Maturity]]),0)</f>
        <v>1857.1410000000001</v>
      </c>
      <c r="L253" s="41">
        <f>+Table13[[#This Row],[Bid Accepted]]-Table13[[#This Row],[Amount Offered]]</f>
        <v>5645</v>
      </c>
      <c r="M253" s="57">
        <f>+IF(Table13[[#This Row],[WAYR Last]]&gt;0,IF(Table13[[#This Row],[WAYR Current]]&gt;0,(Table13[[#This Row],[WAYR Current]]-Table13[[#This Row],[WAYR Last]]),""),"")</f>
        <v>6.0000000000000497E-2</v>
      </c>
      <c r="N253" s="5"/>
      <c r="S253" s="67"/>
      <c r="T253" s="67"/>
      <c r="U253" s="5"/>
      <c r="V253" s="5"/>
      <c r="AG253" s="5"/>
      <c r="AH253" s="13">
        <v>44867</v>
      </c>
      <c r="AI253" s="78">
        <v>90000</v>
      </c>
      <c r="AJ253" s="78">
        <v>178835</v>
      </c>
      <c r="AK253" s="78">
        <v>88648</v>
      </c>
      <c r="AL253" s="78">
        <v>88835</v>
      </c>
      <c r="AM253" s="78">
        <v>-1352</v>
      </c>
      <c r="AN253" s="78">
        <v>29.57</v>
      </c>
      <c r="AO253" s="77">
        <v>-1.5022222222222222E-2</v>
      </c>
      <c r="AP253" s="77"/>
      <c r="AQ253" s="5"/>
      <c r="AR253" s="5"/>
      <c r="AU253" s="78"/>
      <c r="AV253" s="64"/>
      <c r="AX253" s="78"/>
      <c r="AY253" s="13">
        <v>44867</v>
      </c>
    </row>
    <row r="254" spans="1:51" x14ac:dyDescent="0.2">
      <c r="A254" s="9">
        <v>43852</v>
      </c>
      <c r="B254" s="10"/>
      <c r="C254" s="10">
        <v>91</v>
      </c>
      <c r="D254" s="5" t="s">
        <v>20</v>
      </c>
      <c r="E254" s="14">
        <v>1500</v>
      </c>
      <c r="F254" s="14">
        <v>5092</v>
      </c>
      <c r="G254" s="14">
        <v>1050</v>
      </c>
      <c r="H254" s="33">
        <v>7.55</v>
      </c>
      <c r="I254" s="33">
        <v>0</v>
      </c>
      <c r="J254" s="12">
        <f t="array" ref="J254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43943</v>
      </c>
      <c r="K254" s="59">
        <f>IFERROR(Table13[[#This Row],[Bid Accepted]]*(Table13[[#This Row],[WAYR Current]]%/364*Table13[[#This Row],[Days To Maturity]]),0)</f>
        <v>19.818749999999998</v>
      </c>
      <c r="L254" s="41">
        <f>+Table13[[#This Row],[Bid Accepted]]-Table13[[#This Row],[Amount Offered]]</f>
        <v>-450</v>
      </c>
      <c r="M254" s="57" t="str">
        <f>+IF(Table13[[#This Row],[WAYR Last]]&gt;0,IF(Table13[[#This Row],[WAYR Current]]&gt;0,(Table13[[#This Row],[WAYR Current]]-Table13[[#This Row],[WAYR Last]]),""),"")</f>
        <v/>
      </c>
      <c r="N254" s="5"/>
      <c r="S254" s="67"/>
      <c r="T254" s="67"/>
      <c r="U254" s="5"/>
      <c r="V254" s="5"/>
      <c r="AG254" s="5"/>
      <c r="AH254" s="13"/>
      <c r="AN254" s="78"/>
      <c r="AP254" s="77"/>
      <c r="AQ254" s="5"/>
      <c r="AR254" s="5"/>
      <c r="AU254" s="78"/>
      <c r="AV254" s="64"/>
      <c r="AX254" s="78"/>
      <c r="AY254" s="13"/>
    </row>
    <row r="255" spans="1:51" x14ac:dyDescent="0.2">
      <c r="A255" s="9">
        <v>43852</v>
      </c>
      <c r="B255" s="5"/>
      <c r="C255" s="10">
        <v>182</v>
      </c>
      <c r="D255" s="5" t="s">
        <v>20</v>
      </c>
      <c r="E255" s="14">
        <v>7500</v>
      </c>
      <c r="F255" s="14">
        <v>22836</v>
      </c>
      <c r="G255" s="14">
        <v>7950</v>
      </c>
      <c r="H255" s="33">
        <v>8.15</v>
      </c>
      <c r="I255" s="33">
        <v>8.1300000000000008</v>
      </c>
      <c r="J255" s="55">
        <f t="array" ref="J25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44034</v>
      </c>
      <c r="K255" s="59">
        <f>IFERROR(Table13[[#This Row],[Bid Accepted]]*(Table13[[#This Row],[WAYR Current]]%/364*Table13[[#This Row],[Days To Maturity]]),0)</f>
        <v>323.96250000000003</v>
      </c>
      <c r="L255" s="41">
        <f>+Table13[[#This Row],[Bid Accepted]]-Table13[[#This Row],[Amount Offered]]</f>
        <v>450</v>
      </c>
      <c r="M255" s="57">
        <f>+IF(Table13[[#This Row],[WAYR Last]]&gt;0,IF(Table13[[#This Row],[WAYR Current]]&gt;0,(Table13[[#This Row],[WAYR Current]]-Table13[[#This Row],[WAYR Last]]),""),"")</f>
        <v>1.9999999999999574E-2</v>
      </c>
      <c r="N255" s="5"/>
      <c r="S255" s="67"/>
      <c r="T255" s="67"/>
      <c r="U255" s="5"/>
      <c r="V255" s="5"/>
      <c r="AG255" s="5"/>
      <c r="AH255" s="13"/>
      <c r="AN255" s="78"/>
      <c r="AP255" s="77"/>
      <c r="AQ255" s="5"/>
      <c r="AR255" s="5"/>
      <c r="AU255" s="78"/>
      <c r="AV255" s="64"/>
      <c r="AX255" s="78"/>
      <c r="AY255" s="13"/>
    </row>
    <row r="256" spans="1:51" x14ac:dyDescent="0.2">
      <c r="A256" s="9">
        <v>43852</v>
      </c>
      <c r="B256" s="5"/>
      <c r="C256" s="5">
        <v>364</v>
      </c>
      <c r="D256" s="5" t="s">
        <v>20</v>
      </c>
      <c r="E256" s="14">
        <v>16500</v>
      </c>
      <c r="F256" s="14">
        <v>34615</v>
      </c>
      <c r="G256" s="14">
        <v>16500</v>
      </c>
      <c r="H256" s="33">
        <v>8.61</v>
      </c>
      <c r="I256" s="33">
        <v>8.58</v>
      </c>
      <c r="J256" s="55">
        <f t="array" ref="J25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44218</v>
      </c>
      <c r="K256" s="59">
        <f>IFERROR(Table13[[#This Row],[Bid Accepted]]*(Table13[[#This Row],[WAYR Current]]%/364*Table13[[#This Row],[Days To Maturity]]),0)</f>
        <v>1420.6499999999999</v>
      </c>
      <c r="L256" s="41">
        <f>+Table13[[#This Row],[Bid Accepted]]-Table13[[#This Row],[Amount Offered]]</f>
        <v>0</v>
      </c>
      <c r="M256" s="57">
        <f>+IF(Table13[[#This Row],[WAYR Last]]&gt;0,IF(Table13[[#This Row],[WAYR Current]]&gt;0,(Table13[[#This Row],[WAYR Current]]-Table13[[#This Row],[WAYR Last]]),""),"")</f>
        <v>2.9999999999999361E-2</v>
      </c>
      <c r="N256" s="5"/>
      <c r="S256" s="67"/>
      <c r="T256" s="67"/>
      <c r="U256" s="5"/>
      <c r="V256" s="5"/>
      <c r="AG256" s="5"/>
      <c r="AH256" s="13"/>
      <c r="AN256" s="78"/>
      <c r="AP256" s="77"/>
      <c r="AQ256" s="5"/>
      <c r="AR256" s="5"/>
      <c r="AU256" s="78"/>
      <c r="AV256" s="64"/>
      <c r="AX256" s="78"/>
      <c r="AY256" s="13"/>
    </row>
    <row r="257" spans="1:51" x14ac:dyDescent="0.2">
      <c r="A257" s="9">
        <v>43859</v>
      </c>
      <c r="B257" s="5"/>
      <c r="C257" s="10">
        <v>91</v>
      </c>
      <c r="D257" s="5" t="s">
        <v>20</v>
      </c>
      <c r="E257" s="14">
        <v>1000</v>
      </c>
      <c r="F257" s="14">
        <v>4494</v>
      </c>
      <c r="G257" s="14">
        <v>1000</v>
      </c>
      <c r="H257" s="33">
        <v>7.51</v>
      </c>
      <c r="I257" s="33">
        <v>7.55</v>
      </c>
      <c r="J257" s="55">
        <f t="array" ref="J257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43950</v>
      </c>
      <c r="K257" s="59">
        <f>IFERROR(Table13[[#This Row],[Bid Accepted]]*(Table13[[#This Row],[WAYR Current]]%/364*Table13[[#This Row],[Days To Maturity]]),0)</f>
        <v>18.774999999999999</v>
      </c>
      <c r="L257" s="41">
        <f>+Table13[[#This Row],[Bid Accepted]]-Table13[[#This Row],[Amount Offered]]</f>
        <v>0</v>
      </c>
      <c r="M257" s="57">
        <f>+IF(Table13[[#This Row],[WAYR Last]]&gt;0,IF(Table13[[#This Row],[WAYR Current]]&gt;0,(Table13[[#This Row],[WAYR Current]]-Table13[[#This Row],[WAYR Last]]),""),"")</f>
        <v>-4.0000000000000036E-2</v>
      </c>
      <c r="N257" s="5"/>
      <c r="S257" s="67"/>
      <c r="T257" s="67"/>
      <c r="U257" s="5"/>
      <c r="V257" s="5"/>
      <c r="AG257" s="5"/>
      <c r="AH257" s="13"/>
      <c r="AN257" s="78"/>
      <c r="AP257" s="77"/>
      <c r="AQ257" s="5"/>
      <c r="AR257" s="5"/>
      <c r="AU257" s="78"/>
      <c r="AV257" s="64"/>
      <c r="AX257" s="78"/>
      <c r="AY257" s="13"/>
    </row>
    <row r="258" spans="1:51" x14ac:dyDescent="0.2">
      <c r="A258" s="9">
        <v>43859</v>
      </c>
      <c r="B258" s="5"/>
      <c r="C258" s="10">
        <v>182</v>
      </c>
      <c r="D258" s="5" t="s">
        <v>20</v>
      </c>
      <c r="E258" s="14">
        <v>8000</v>
      </c>
      <c r="F258" s="14">
        <v>23415</v>
      </c>
      <c r="G258" s="14">
        <v>1199</v>
      </c>
      <c r="H258" s="33">
        <v>8.15</v>
      </c>
      <c r="I258" s="33">
        <v>8.15</v>
      </c>
      <c r="J258" s="55">
        <f t="array" ref="J25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44041</v>
      </c>
      <c r="K258" s="59">
        <f>IFERROR(Table13[[#This Row],[Bid Accepted]]*(Table13[[#This Row],[WAYR Current]]%/364*Table13[[#This Row],[Days To Maturity]]),0)</f>
        <v>48.859250000000003</v>
      </c>
      <c r="L258" s="41">
        <f>+Table13[[#This Row],[Bid Accepted]]-Table13[[#This Row],[Amount Offered]]</f>
        <v>-6801</v>
      </c>
      <c r="M258" s="57">
        <f>+IF(Table13[[#This Row],[WAYR Last]]&gt;0,IF(Table13[[#This Row],[WAYR Current]]&gt;0,(Table13[[#This Row],[WAYR Current]]-Table13[[#This Row],[WAYR Last]]),""),"")</f>
        <v>0</v>
      </c>
      <c r="N258" s="5"/>
      <c r="S258" s="67"/>
      <c r="T258" s="67"/>
      <c r="U258" s="5"/>
      <c r="V258" s="5"/>
      <c r="AG258" s="5"/>
      <c r="AH258" s="13"/>
      <c r="AN258" s="78"/>
      <c r="AP258" s="77"/>
      <c r="AQ258" s="5"/>
      <c r="AR258" s="5"/>
      <c r="AU258" s="78"/>
      <c r="AV258" s="64"/>
      <c r="AX258" s="78"/>
      <c r="AY258" s="13"/>
    </row>
    <row r="259" spans="1:51" x14ac:dyDescent="0.2">
      <c r="A259" s="9">
        <v>43859</v>
      </c>
      <c r="B259" s="5"/>
      <c r="C259" s="5">
        <v>364</v>
      </c>
      <c r="D259" s="5" t="s">
        <v>20</v>
      </c>
      <c r="E259" s="14">
        <v>17500</v>
      </c>
      <c r="F259" s="14">
        <v>57493</v>
      </c>
      <c r="G259" s="14">
        <v>24301</v>
      </c>
      <c r="H259" s="33">
        <v>8.59</v>
      </c>
      <c r="I259" s="33">
        <v>8.61</v>
      </c>
      <c r="J259" s="55">
        <f t="array" ref="J25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44225</v>
      </c>
      <c r="K259" s="59">
        <f>IFERROR(Table13[[#This Row],[Bid Accepted]]*(Table13[[#This Row],[WAYR Current]]%/364*Table13[[#This Row],[Days To Maturity]]),0)</f>
        <v>2087.4558999999999</v>
      </c>
      <c r="L259" s="41">
        <f>+Table13[[#This Row],[Bid Accepted]]-Table13[[#This Row],[Amount Offered]]</f>
        <v>6801</v>
      </c>
      <c r="M259" s="57">
        <f>+IF(Table13[[#This Row],[WAYR Last]]&gt;0,IF(Table13[[#This Row],[WAYR Current]]&gt;0,(Table13[[#This Row],[WAYR Current]]-Table13[[#This Row],[WAYR Last]]),""),"")</f>
        <v>-1.9999999999999574E-2</v>
      </c>
      <c r="N259" s="5"/>
      <c r="S259" s="67"/>
      <c r="T259" s="67"/>
      <c r="U259" s="5"/>
      <c r="V259" s="5"/>
      <c r="AG259" s="5"/>
      <c r="AH259" s="13"/>
      <c r="AN259" s="78"/>
      <c r="AP259" s="77"/>
      <c r="AQ259" s="5"/>
      <c r="AR259" s="5"/>
      <c r="AU259" s="78"/>
      <c r="AV259" s="64"/>
      <c r="AX259" s="78"/>
      <c r="AY259" s="13"/>
    </row>
    <row r="260" spans="1:51" x14ac:dyDescent="0.2">
      <c r="A260" s="9">
        <v>43866</v>
      </c>
      <c r="B260" s="10"/>
      <c r="C260" s="10">
        <v>91</v>
      </c>
      <c r="D260" s="5" t="s">
        <v>20</v>
      </c>
      <c r="E260" s="14">
        <v>4000</v>
      </c>
      <c r="F260" s="18">
        <v>11234</v>
      </c>
      <c r="G260" s="18">
        <v>4000</v>
      </c>
      <c r="H260" s="37">
        <v>7.37</v>
      </c>
      <c r="I260" s="37">
        <v>7.51</v>
      </c>
      <c r="J260" s="12">
        <f t="array" ref="J260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43956</v>
      </c>
      <c r="K260" s="59">
        <f>IFERROR(Table13[[#This Row],[Bid Accepted]]*(Table13[[#This Row],[WAYR Current]]%/364*Table13[[#This Row],[Days To Maturity]]),0)</f>
        <v>73.7</v>
      </c>
      <c r="L260" s="41">
        <f>+Table13[[#This Row],[Bid Accepted]]-Table13[[#This Row],[Amount Offered]]</f>
        <v>0</v>
      </c>
      <c r="M260" s="57">
        <f>+IF(Table13[[#This Row],[WAYR Last]]&gt;0,IF(Table13[[#This Row],[WAYR Current]]&gt;0,(Table13[[#This Row],[WAYR Current]]-Table13[[#This Row],[WAYR Last]]),""),"")</f>
        <v>-0.13999999999999968</v>
      </c>
      <c r="N260" s="5"/>
      <c r="S260" s="67"/>
      <c r="T260" s="67"/>
      <c r="U260" s="5"/>
      <c r="V260" s="5"/>
      <c r="AG260" s="5"/>
      <c r="AH260" s="13"/>
      <c r="AN260" s="78"/>
      <c r="AP260" s="77"/>
      <c r="AQ260" s="5"/>
      <c r="AR260" s="5"/>
      <c r="AU260" s="78"/>
      <c r="AV260" s="64"/>
      <c r="AX260" s="78"/>
      <c r="AY260" s="13"/>
    </row>
    <row r="261" spans="1:51" x14ac:dyDescent="0.2">
      <c r="A261" s="9">
        <v>43866</v>
      </c>
      <c r="B261" s="10"/>
      <c r="C261" s="10">
        <v>182</v>
      </c>
      <c r="D261" s="5" t="s">
        <v>20</v>
      </c>
      <c r="E261" s="14">
        <v>8000</v>
      </c>
      <c r="F261" s="18">
        <v>35850</v>
      </c>
      <c r="G261" s="18">
        <v>8060</v>
      </c>
      <c r="H261" s="37">
        <v>7.99</v>
      </c>
      <c r="I261" s="37">
        <v>8.15</v>
      </c>
      <c r="J261" s="12">
        <f t="array" ref="J26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44048</v>
      </c>
      <c r="K261" s="59">
        <f>IFERROR(Table13[[#This Row],[Bid Accepted]]*(Table13[[#This Row],[WAYR Current]]%/364*Table13[[#This Row],[Days To Maturity]]),0)</f>
        <v>321.99700000000001</v>
      </c>
      <c r="L261" s="41">
        <f>+Table13[[#This Row],[Bid Accepted]]-Table13[[#This Row],[Amount Offered]]</f>
        <v>60</v>
      </c>
      <c r="M261" s="57">
        <f>+IF(Table13[[#This Row],[WAYR Last]]&gt;0,IF(Table13[[#This Row],[WAYR Current]]&gt;0,(Table13[[#This Row],[WAYR Current]]-Table13[[#This Row],[WAYR Last]]),""),"")</f>
        <v>-0.16000000000000014</v>
      </c>
      <c r="N261" s="5"/>
      <c r="S261" s="67"/>
      <c r="T261" s="67"/>
      <c r="U261" s="5"/>
      <c r="V261" s="5"/>
      <c r="AG261" s="5"/>
      <c r="AH261" s="13"/>
      <c r="AN261" s="78"/>
      <c r="AP261" s="77"/>
      <c r="AQ261" s="5"/>
      <c r="AR261" s="5"/>
      <c r="AU261" s="78"/>
      <c r="AV261" s="64"/>
      <c r="AX261" s="78"/>
      <c r="AY261" s="13"/>
    </row>
    <row r="262" spans="1:51" x14ac:dyDescent="0.2">
      <c r="A262" s="9">
        <v>43866</v>
      </c>
      <c r="B262" s="5"/>
      <c r="C262" s="5">
        <v>364</v>
      </c>
      <c r="D262" s="5" t="s">
        <v>20</v>
      </c>
      <c r="E262" s="14">
        <v>18000</v>
      </c>
      <c r="F262" s="14">
        <v>44524</v>
      </c>
      <c r="G262" s="14">
        <v>17940</v>
      </c>
      <c r="H262" s="33">
        <v>8.42</v>
      </c>
      <c r="I262" s="33">
        <v>8.59</v>
      </c>
      <c r="J262" s="55">
        <f t="array" ref="J26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44232</v>
      </c>
      <c r="K262" s="59">
        <f>IFERROR(Table13[[#This Row],[Bid Accepted]]*(Table13[[#This Row],[WAYR Current]]%/364*Table13[[#This Row],[Days To Maturity]]),0)</f>
        <v>1510.548</v>
      </c>
      <c r="L262" s="41">
        <f>+Table13[[#This Row],[Bid Accepted]]-Table13[[#This Row],[Amount Offered]]</f>
        <v>-60</v>
      </c>
      <c r="M262" s="57">
        <f>+IF(Table13[[#This Row],[WAYR Last]]&gt;0,IF(Table13[[#This Row],[WAYR Current]]&gt;0,(Table13[[#This Row],[WAYR Current]]-Table13[[#This Row],[WAYR Last]]),""),"")</f>
        <v>-0.16999999999999993</v>
      </c>
      <c r="N262" s="5"/>
      <c r="S262" s="67"/>
      <c r="T262" s="67"/>
      <c r="U262" s="5"/>
      <c r="V262" s="5"/>
      <c r="AG262" s="5"/>
      <c r="AH262" s="13"/>
      <c r="AN262" s="78"/>
      <c r="AP262" s="77"/>
      <c r="AQ262" s="5"/>
      <c r="AR262" s="5"/>
      <c r="AU262" s="78"/>
      <c r="AV262" s="64"/>
      <c r="AX262" s="78"/>
      <c r="AY262" s="13"/>
    </row>
    <row r="263" spans="1:51" x14ac:dyDescent="0.2">
      <c r="A263" s="9">
        <v>43873</v>
      </c>
      <c r="B263" s="10"/>
      <c r="C263" s="10">
        <v>91</v>
      </c>
      <c r="D263" s="5" t="s">
        <v>20</v>
      </c>
      <c r="E263" s="14">
        <v>7500</v>
      </c>
      <c r="F263" s="18">
        <v>23281</v>
      </c>
      <c r="G263" s="18">
        <v>7500</v>
      </c>
      <c r="H263" s="37">
        <v>7.36</v>
      </c>
      <c r="I263" s="37">
        <v>7.37</v>
      </c>
      <c r="J263" s="12">
        <f t="array" ref="J263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43963</v>
      </c>
      <c r="K263" s="59">
        <f>IFERROR(Table13[[#This Row],[Bid Accepted]]*(Table13[[#This Row],[WAYR Current]]%/364*Table13[[#This Row],[Days To Maturity]]),0)</f>
        <v>138</v>
      </c>
      <c r="L263" s="41">
        <f>+Table13[[#This Row],[Bid Accepted]]-Table13[[#This Row],[Amount Offered]]</f>
        <v>0</v>
      </c>
      <c r="M263" s="57">
        <f>+IF(Table13[[#This Row],[WAYR Last]]&gt;0,IF(Table13[[#This Row],[WAYR Current]]&gt;0,(Table13[[#This Row],[WAYR Current]]-Table13[[#This Row],[WAYR Last]]),""),"")</f>
        <v>-9.9999999999997868E-3</v>
      </c>
      <c r="N263" s="5"/>
      <c r="S263" s="67"/>
      <c r="T263" s="67"/>
      <c r="U263" s="5"/>
      <c r="V263" s="5"/>
      <c r="AG263" s="5"/>
      <c r="AH263" s="13"/>
      <c r="AN263" s="78"/>
      <c r="AP263" s="77"/>
      <c r="AQ263" s="5"/>
      <c r="AR263" s="5"/>
      <c r="AU263" s="78"/>
      <c r="AV263" s="64"/>
      <c r="AX263" s="78"/>
      <c r="AY263" s="13"/>
    </row>
    <row r="264" spans="1:51" x14ac:dyDescent="0.2">
      <c r="A264" s="9">
        <v>43873</v>
      </c>
      <c r="B264" s="10"/>
      <c r="C264" s="10">
        <v>182</v>
      </c>
      <c r="D264" s="5" t="s">
        <v>20</v>
      </c>
      <c r="E264" s="14">
        <v>7000</v>
      </c>
      <c r="F264" s="18">
        <v>15926</v>
      </c>
      <c r="G264" s="18">
        <v>7000</v>
      </c>
      <c r="H264" s="37">
        <v>8.0399999999999991</v>
      </c>
      <c r="I264" s="37">
        <v>7.99</v>
      </c>
      <c r="J264" s="12">
        <f t="array" ref="J26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44055</v>
      </c>
      <c r="K264" s="59">
        <f>IFERROR(Table13[[#This Row],[Bid Accepted]]*(Table13[[#This Row],[WAYR Current]]%/364*Table13[[#This Row],[Days To Maturity]]),0)</f>
        <v>281.39999999999992</v>
      </c>
      <c r="L264" s="41">
        <f>+Table13[[#This Row],[Bid Accepted]]-Table13[[#This Row],[Amount Offered]]</f>
        <v>0</v>
      </c>
      <c r="M264" s="57">
        <f>+IF(Table13[[#This Row],[WAYR Last]]&gt;0,IF(Table13[[#This Row],[WAYR Current]]&gt;0,(Table13[[#This Row],[WAYR Current]]-Table13[[#This Row],[WAYR Last]]),""),"")</f>
        <v>4.9999999999998934E-2</v>
      </c>
      <c r="N264" s="5"/>
      <c r="S264" s="67"/>
      <c r="T264" s="67"/>
      <c r="U264" s="5"/>
      <c r="V264" s="5"/>
      <c r="AG264" s="5"/>
      <c r="AH264" s="13"/>
      <c r="AN264" s="78"/>
      <c r="AP264" s="77"/>
      <c r="AQ264" s="5"/>
      <c r="AR264" s="5"/>
      <c r="AU264" s="78"/>
      <c r="AV264" s="64"/>
      <c r="AX264" s="78"/>
      <c r="AY264" s="13"/>
    </row>
    <row r="265" spans="1:51" x14ac:dyDescent="0.2">
      <c r="A265" s="9">
        <v>43873</v>
      </c>
      <c r="B265" s="5"/>
      <c r="C265" s="5">
        <v>364</v>
      </c>
      <c r="D265" s="5" t="s">
        <v>20</v>
      </c>
      <c r="E265" s="14">
        <v>15000</v>
      </c>
      <c r="F265" s="14">
        <v>36854</v>
      </c>
      <c r="G265" s="14">
        <v>15000</v>
      </c>
      <c r="H265" s="33">
        <v>8.5500000000000007</v>
      </c>
      <c r="I265" s="33">
        <v>8.42</v>
      </c>
      <c r="J265" s="55">
        <f t="array" ref="J26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44239</v>
      </c>
      <c r="K265" s="59">
        <f>IFERROR(Table13[[#This Row],[Bid Accepted]]*(Table13[[#This Row],[WAYR Current]]%/364*Table13[[#This Row],[Days To Maturity]]),0)</f>
        <v>1282.5</v>
      </c>
      <c r="L265" s="41">
        <f>+Table13[[#This Row],[Bid Accepted]]-Table13[[#This Row],[Amount Offered]]</f>
        <v>0</v>
      </c>
      <c r="M265" s="57">
        <f>+IF(Table13[[#This Row],[WAYR Last]]&gt;0,IF(Table13[[#This Row],[WAYR Current]]&gt;0,(Table13[[#This Row],[WAYR Current]]-Table13[[#This Row],[WAYR Last]]),""),"")</f>
        <v>0.13000000000000078</v>
      </c>
      <c r="N265" s="5"/>
      <c r="S265" s="67"/>
      <c r="T265" s="67"/>
      <c r="U265" s="5"/>
      <c r="V265" s="5"/>
      <c r="AG265" s="5"/>
      <c r="AH265" s="13"/>
      <c r="AN265" s="78"/>
      <c r="AP265" s="77"/>
      <c r="AQ265" s="5"/>
      <c r="AR265" s="5"/>
      <c r="AU265" s="78"/>
      <c r="AV265" s="64"/>
      <c r="AX265" s="78"/>
      <c r="AY265" s="13"/>
    </row>
    <row r="266" spans="1:51" x14ac:dyDescent="0.2">
      <c r="A266" s="9">
        <v>43879</v>
      </c>
      <c r="B266" s="10"/>
      <c r="C266" s="10">
        <v>91</v>
      </c>
      <c r="D266" s="5" t="s">
        <v>20</v>
      </c>
      <c r="E266" s="14">
        <v>8000</v>
      </c>
      <c r="F266" s="18">
        <v>14077</v>
      </c>
      <c r="G266" s="18">
        <v>6650</v>
      </c>
      <c r="H266" s="37">
        <v>7.44</v>
      </c>
      <c r="I266" s="37">
        <v>7.36</v>
      </c>
      <c r="J266" s="12">
        <f t="array" ref="J266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43969</v>
      </c>
      <c r="K266" s="59">
        <f>IFERROR(Table13[[#This Row],[Bid Accepted]]*(Table13[[#This Row],[WAYR Current]]%/364*Table13[[#This Row],[Days To Maturity]]),0)</f>
        <v>123.69000000000001</v>
      </c>
      <c r="L266" s="41">
        <f>+Table13[[#This Row],[Bid Accepted]]-Table13[[#This Row],[Amount Offered]]</f>
        <v>-1350</v>
      </c>
      <c r="M266" s="57">
        <f>+IF(Table13[[#This Row],[WAYR Last]]&gt;0,IF(Table13[[#This Row],[WAYR Current]]&gt;0,(Table13[[#This Row],[WAYR Current]]-Table13[[#This Row],[WAYR Last]]),""),"")</f>
        <v>8.0000000000000071E-2</v>
      </c>
      <c r="N266" s="5"/>
      <c r="S266" s="67"/>
      <c r="T266" s="67"/>
      <c r="U266" s="5"/>
      <c r="V266" s="5"/>
      <c r="AG266" s="5"/>
      <c r="AH266" s="13"/>
      <c r="AN266" s="78"/>
      <c r="AP266" s="77"/>
      <c r="AQ266" s="5"/>
      <c r="AR266" s="5"/>
      <c r="AU266" s="78"/>
      <c r="AV266" s="64"/>
      <c r="AX266" s="78"/>
      <c r="AY266" s="13"/>
    </row>
    <row r="267" spans="1:51" x14ac:dyDescent="0.2">
      <c r="A267" s="9">
        <v>43879</v>
      </c>
      <c r="B267" s="5"/>
      <c r="C267" s="10">
        <v>182</v>
      </c>
      <c r="D267" s="5" t="s">
        <v>20</v>
      </c>
      <c r="E267" s="14">
        <v>5000</v>
      </c>
      <c r="F267" s="14">
        <v>12868</v>
      </c>
      <c r="G267" s="14">
        <v>4100</v>
      </c>
      <c r="H267" s="33">
        <v>8.06</v>
      </c>
      <c r="I267" s="33">
        <v>8.0399999999999991</v>
      </c>
      <c r="J267" s="55">
        <f t="array" ref="J26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44061</v>
      </c>
      <c r="K267" s="59">
        <f>IFERROR(Table13[[#This Row],[Bid Accepted]]*(Table13[[#This Row],[WAYR Current]]%/364*Table13[[#This Row],[Days To Maturity]]),0)</f>
        <v>165.23000000000002</v>
      </c>
      <c r="L267" s="41">
        <f>+Table13[[#This Row],[Bid Accepted]]-Table13[[#This Row],[Amount Offered]]</f>
        <v>-900</v>
      </c>
      <c r="M267" s="57">
        <f>+IF(Table13[[#This Row],[WAYR Last]]&gt;0,IF(Table13[[#This Row],[WAYR Current]]&gt;0,(Table13[[#This Row],[WAYR Current]]-Table13[[#This Row],[WAYR Last]]),""),"")</f>
        <v>2.000000000000135E-2</v>
      </c>
      <c r="N267" s="5"/>
      <c r="S267" s="67"/>
      <c r="T267" s="67"/>
      <c r="U267" s="5"/>
      <c r="V267" s="5"/>
      <c r="AG267" s="5"/>
      <c r="AH267" s="13"/>
      <c r="AN267" s="78"/>
      <c r="AP267" s="77"/>
      <c r="AQ267" s="5"/>
      <c r="AR267" s="5"/>
      <c r="AU267" s="78"/>
      <c r="AV267" s="64"/>
      <c r="AX267" s="78"/>
      <c r="AY267" s="13"/>
    </row>
    <row r="268" spans="1:51" x14ac:dyDescent="0.2">
      <c r="A268" s="9">
        <v>43879</v>
      </c>
      <c r="B268" s="5"/>
      <c r="C268" s="5">
        <v>364</v>
      </c>
      <c r="D268" s="5" t="s">
        <v>20</v>
      </c>
      <c r="E268" s="14">
        <v>12000</v>
      </c>
      <c r="F268" s="14">
        <v>37409</v>
      </c>
      <c r="G268" s="14">
        <v>14250</v>
      </c>
      <c r="H268" s="33">
        <v>8.6</v>
      </c>
      <c r="I268" s="33">
        <v>8.5500000000000007</v>
      </c>
      <c r="J268" s="55">
        <f t="array" ref="J26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44245</v>
      </c>
      <c r="K268" s="59">
        <f>IFERROR(Table13[[#This Row],[Bid Accepted]]*(Table13[[#This Row],[WAYR Current]]%/364*Table13[[#This Row],[Days To Maturity]]),0)</f>
        <v>1225.5</v>
      </c>
      <c r="L268" s="41">
        <f>+Table13[[#This Row],[Bid Accepted]]-Table13[[#This Row],[Amount Offered]]</f>
        <v>2250</v>
      </c>
      <c r="M268" s="57">
        <f>+IF(Table13[[#This Row],[WAYR Last]]&gt;0,IF(Table13[[#This Row],[WAYR Current]]&gt;0,(Table13[[#This Row],[WAYR Current]]-Table13[[#This Row],[WAYR Last]]),""),"")</f>
        <v>4.9999999999998934E-2</v>
      </c>
      <c r="N268" s="5"/>
      <c r="S268" s="67"/>
      <c r="T268" s="67"/>
      <c r="U268" s="5"/>
      <c r="V268" s="5"/>
      <c r="AG268" s="5"/>
      <c r="AH268" s="13"/>
      <c r="AN268" s="78"/>
      <c r="AP268" s="77"/>
      <c r="AQ268" s="5"/>
      <c r="AR268" s="5"/>
      <c r="AU268" s="78"/>
      <c r="AV268" s="64"/>
      <c r="AX268" s="78"/>
      <c r="AY268" s="13"/>
    </row>
    <row r="269" spans="1:51" x14ac:dyDescent="0.2">
      <c r="A269" s="9">
        <v>43887</v>
      </c>
      <c r="B269" s="10"/>
      <c r="C269" s="10">
        <v>91</v>
      </c>
      <c r="D269" s="5" t="s">
        <v>20</v>
      </c>
      <c r="E269" s="14">
        <v>7000</v>
      </c>
      <c r="F269" s="18">
        <v>18350</v>
      </c>
      <c r="G269" s="18">
        <v>7300</v>
      </c>
      <c r="H269" s="37">
        <v>7.42</v>
      </c>
      <c r="I269" s="37">
        <v>7.44</v>
      </c>
      <c r="J269" s="12">
        <f t="array" ref="J269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43977</v>
      </c>
      <c r="K269" s="59">
        <f>IFERROR(Table13[[#This Row],[Bid Accepted]]*(Table13[[#This Row],[WAYR Current]]%/364*Table13[[#This Row],[Days To Maturity]]),0)</f>
        <v>135.41499999999999</v>
      </c>
      <c r="L269" s="41">
        <f>+Table13[[#This Row],[Bid Accepted]]-Table13[[#This Row],[Amount Offered]]</f>
        <v>300</v>
      </c>
      <c r="M269" s="57">
        <f>+IF(Table13[[#This Row],[WAYR Last]]&gt;0,IF(Table13[[#This Row],[WAYR Current]]&gt;0,(Table13[[#This Row],[WAYR Current]]-Table13[[#This Row],[WAYR Last]]),""),"")</f>
        <v>-2.0000000000000462E-2</v>
      </c>
      <c r="N269" s="5"/>
      <c r="S269" s="67"/>
      <c r="T269" s="67"/>
      <c r="U269" s="5"/>
      <c r="V269" s="5"/>
      <c r="AG269" s="5"/>
      <c r="AH269" s="13"/>
      <c r="AN269" s="78"/>
      <c r="AP269" s="77"/>
      <c r="AQ269" s="5"/>
      <c r="AR269" s="5"/>
      <c r="AU269" s="78"/>
      <c r="AV269" s="64"/>
      <c r="AX269" s="78"/>
      <c r="AY269" s="13"/>
    </row>
    <row r="270" spans="1:51" x14ac:dyDescent="0.2">
      <c r="A270" s="9">
        <v>43887</v>
      </c>
      <c r="B270" s="5"/>
      <c r="C270" s="10">
        <v>182</v>
      </c>
      <c r="D270" s="5" t="s">
        <v>20</v>
      </c>
      <c r="E270" s="14">
        <v>7500</v>
      </c>
      <c r="F270" s="14">
        <v>16236</v>
      </c>
      <c r="G270" s="14">
        <v>3000</v>
      </c>
      <c r="H270" s="33">
        <v>8.06</v>
      </c>
      <c r="I270" s="33">
        <v>8.06</v>
      </c>
      <c r="J270" s="55">
        <f t="array" ref="J27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44069</v>
      </c>
      <c r="K270" s="59">
        <f>IFERROR(Table13[[#This Row],[Bid Accepted]]*(Table13[[#This Row],[WAYR Current]]%/364*Table13[[#This Row],[Days To Maturity]]),0)</f>
        <v>120.9</v>
      </c>
      <c r="L270" s="41">
        <f>+Table13[[#This Row],[Bid Accepted]]-Table13[[#This Row],[Amount Offered]]</f>
        <v>-4500</v>
      </c>
      <c r="M270" s="57">
        <f>+IF(Table13[[#This Row],[WAYR Last]]&gt;0,IF(Table13[[#This Row],[WAYR Current]]&gt;0,(Table13[[#This Row],[WAYR Current]]-Table13[[#This Row],[WAYR Last]]),""),"")</f>
        <v>0</v>
      </c>
      <c r="N270" s="5"/>
      <c r="S270" s="67"/>
      <c r="T270" s="67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13"/>
      <c r="AN270" s="78"/>
      <c r="AP270" s="77"/>
      <c r="AQ270" s="5"/>
      <c r="AR270" s="5"/>
      <c r="AU270" s="78"/>
      <c r="AV270" s="64"/>
      <c r="AX270" s="78"/>
      <c r="AY270" s="13"/>
    </row>
    <row r="271" spans="1:51" x14ac:dyDescent="0.2">
      <c r="A271" s="9">
        <v>43887</v>
      </c>
      <c r="B271" s="5"/>
      <c r="C271" s="5">
        <v>364</v>
      </c>
      <c r="D271" s="5" t="s">
        <v>20</v>
      </c>
      <c r="E271" s="14">
        <v>12500</v>
      </c>
      <c r="F271" s="14">
        <v>65567</v>
      </c>
      <c r="G271" s="14">
        <v>16700</v>
      </c>
      <c r="H271" s="33">
        <v>8.58</v>
      </c>
      <c r="I271" s="33">
        <v>8.6</v>
      </c>
      <c r="J271" s="55">
        <f t="array" ref="J27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44253</v>
      </c>
      <c r="K271" s="59">
        <f>IFERROR(Table13[[#This Row],[Bid Accepted]]*(Table13[[#This Row],[WAYR Current]]%/364*Table13[[#This Row],[Days To Maturity]]),0)</f>
        <v>1432.8600000000001</v>
      </c>
      <c r="L271" s="41">
        <f>+Table13[[#This Row],[Bid Accepted]]-Table13[[#This Row],[Amount Offered]]</f>
        <v>4200</v>
      </c>
      <c r="M271" s="57">
        <f>+IF(Table13[[#This Row],[WAYR Last]]&gt;0,IF(Table13[[#This Row],[WAYR Current]]&gt;0,(Table13[[#This Row],[WAYR Current]]-Table13[[#This Row],[WAYR Last]]),""),"")</f>
        <v>-1.9999999999999574E-2</v>
      </c>
      <c r="N271" s="5"/>
      <c r="S271" s="67"/>
      <c r="T271" s="67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13"/>
      <c r="AN271" s="78"/>
      <c r="AP271" s="77"/>
      <c r="AQ271" s="5"/>
      <c r="AR271" s="5"/>
      <c r="AU271" s="78"/>
      <c r="AV271" s="64"/>
      <c r="AX271" s="78"/>
      <c r="AY271" s="13"/>
    </row>
    <row r="272" spans="1:51" x14ac:dyDescent="0.2">
      <c r="A272" s="9">
        <v>43894</v>
      </c>
      <c r="B272" s="5"/>
      <c r="C272" s="10">
        <v>91</v>
      </c>
      <c r="D272" s="5" t="s">
        <v>20</v>
      </c>
      <c r="E272" s="14">
        <v>9000</v>
      </c>
      <c r="F272" s="14">
        <v>16615</v>
      </c>
      <c r="G272" s="14">
        <v>7815</v>
      </c>
      <c r="H272" s="33">
        <v>7.41</v>
      </c>
      <c r="I272" s="33">
        <v>7.42</v>
      </c>
      <c r="J272" s="55">
        <f t="array" ref="J272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43986</v>
      </c>
      <c r="K272" s="59">
        <f>IFERROR(Table13[[#This Row],[Bid Accepted]]*(Table13[[#This Row],[WAYR Current]]%/364*Table13[[#This Row],[Days To Maturity]]),0)</f>
        <v>144.772875</v>
      </c>
      <c r="L272" s="41">
        <f>+Table13[[#This Row],[Bid Accepted]]-Table13[[#This Row],[Amount Offered]]</f>
        <v>-1185</v>
      </c>
      <c r="M272" s="57">
        <f>+IF(Table13[[#This Row],[WAYR Last]]&gt;0,IF(Table13[[#This Row],[WAYR Current]]&gt;0,(Table13[[#This Row],[WAYR Current]]-Table13[[#This Row],[WAYR Last]]),""),"")</f>
        <v>-9.9999999999997868E-3</v>
      </c>
      <c r="N272" s="5"/>
      <c r="S272" s="67"/>
      <c r="T272" s="67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13"/>
      <c r="AN272" s="78"/>
      <c r="AP272" s="77"/>
      <c r="AQ272" s="5"/>
      <c r="AR272" s="5"/>
      <c r="AU272" s="78"/>
      <c r="AV272" s="64"/>
      <c r="AX272" s="78"/>
      <c r="AY272" s="13"/>
    </row>
    <row r="273" spans="1:51" x14ac:dyDescent="0.2">
      <c r="A273" s="9">
        <v>43894</v>
      </c>
      <c r="B273" s="5"/>
      <c r="C273" s="10">
        <v>182</v>
      </c>
      <c r="D273" s="5" t="s">
        <v>20</v>
      </c>
      <c r="E273" s="14">
        <v>5000</v>
      </c>
      <c r="F273" s="14">
        <v>18740</v>
      </c>
      <c r="G273" s="14">
        <v>5500</v>
      </c>
      <c r="H273" s="33">
        <v>7.99</v>
      </c>
      <c r="I273" s="33">
        <v>8.06</v>
      </c>
      <c r="J273" s="55">
        <f t="array" ref="J27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44078</v>
      </c>
      <c r="K273" s="59">
        <f>IFERROR(Table13[[#This Row],[Bid Accepted]]*(Table13[[#This Row],[WAYR Current]]%/364*Table13[[#This Row],[Days To Maturity]]),0)</f>
        <v>219.72499999999999</v>
      </c>
      <c r="L273" s="41">
        <f>+Table13[[#This Row],[Bid Accepted]]-Table13[[#This Row],[Amount Offered]]</f>
        <v>500</v>
      </c>
      <c r="M273" s="57">
        <f>+IF(Table13[[#This Row],[WAYR Last]]&gt;0,IF(Table13[[#This Row],[WAYR Current]]&gt;0,(Table13[[#This Row],[WAYR Current]]-Table13[[#This Row],[WAYR Last]]),""),"")</f>
        <v>-7.0000000000000284E-2</v>
      </c>
      <c r="N273" s="5"/>
      <c r="S273" s="67"/>
      <c r="T273" s="67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13"/>
      <c r="AN273" s="78"/>
      <c r="AP273" s="77"/>
      <c r="AQ273" s="5"/>
      <c r="AR273" s="5"/>
      <c r="AU273" s="78"/>
      <c r="AV273" s="64"/>
      <c r="AX273" s="78"/>
      <c r="AY273" s="13"/>
    </row>
    <row r="274" spans="1:51" x14ac:dyDescent="0.2">
      <c r="A274" s="9">
        <v>43894</v>
      </c>
      <c r="B274" s="5"/>
      <c r="C274" s="5">
        <v>364</v>
      </c>
      <c r="D274" s="5" t="s">
        <v>20</v>
      </c>
      <c r="E274" s="14">
        <v>15000</v>
      </c>
      <c r="F274" s="14">
        <v>60178</v>
      </c>
      <c r="G274" s="14">
        <v>15685</v>
      </c>
      <c r="H274" s="33">
        <v>8.4600000000000009</v>
      </c>
      <c r="I274" s="33">
        <v>8.58</v>
      </c>
      <c r="J274" s="55">
        <f t="array" ref="J27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44259</v>
      </c>
      <c r="K274" s="59">
        <f>IFERROR(Table13[[#This Row],[Bid Accepted]]*(Table13[[#This Row],[WAYR Current]]%/364*Table13[[#This Row],[Days To Maturity]]),0)</f>
        <v>1326.951</v>
      </c>
      <c r="L274" s="41">
        <f>+Table13[[#This Row],[Bid Accepted]]-Table13[[#This Row],[Amount Offered]]</f>
        <v>685</v>
      </c>
      <c r="M274" s="57">
        <f>+IF(Table13[[#This Row],[WAYR Last]]&gt;0,IF(Table13[[#This Row],[WAYR Current]]&gt;0,(Table13[[#This Row],[WAYR Current]]-Table13[[#This Row],[WAYR Last]]),""),"")</f>
        <v>-0.11999999999999922</v>
      </c>
      <c r="N274" s="5"/>
      <c r="S274" s="67"/>
      <c r="T274" s="67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13"/>
      <c r="AN274" s="78"/>
      <c r="AP274" s="77"/>
      <c r="AQ274" s="5"/>
      <c r="AR274" s="5"/>
      <c r="AU274" s="78"/>
      <c r="AV274" s="64"/>
      <c r="AX274" s="78"/>
      <c r="AY274" s="13"/>
    </row>
    <row r="275" spans="1:51" x14ac:dyDescent="0.2">
      <c r="A275" s="9">
        <v>43901</v>
      </c>
      <c r="B275" s="10"/>
      <c r="C275" s="10">
        <v>91</v>
      </c>
      <c r="D275" s="5" t="s">
        <v>20</v>
      </c>
      <c r="E275" s="14">
        <v>9000</v>
      </c>
      <c r="F275" s="18">
        <v>20375</v>
      </c>
      <c r="G275" s="18">
        <v>8009</v>
      </c>
      <c r="H275" s="37">
        <v>7.41</v>
      </c>
      <c r="I275" s="37">
        <v>7.41</v>
      </c>
      <c r="J275" s="12">
        <f t="array" ref="J275">_xlfn.IFS(Table13[[#This Row],[Days To Maturity]]=364,EDATE(Table13[[#This Row],[Date_d]],12),Table13[[#This Row],[Days To Maturity]]=182,EDATE(Table13[[#This Row],[Date_d]],6),Table13[[#This Row],[Days To Maturity]]=91,EDATE(Table13[[#This Row],[Date_d]],3))</f>
        <v>43993</v>
      </c>
      <c r="K275" s="59">
        <f>IFERROR(Table13[[#This Row],[Bid Accepted]]*(Table13[[#This Row],[WAYR Current]]%/364*Table13[[#This Row],[Days To Maturity]]),0)</f>
        <v>148.366725</v>
      </c>
      <c r="L275" s="41">
        <f>+Table13[[#This Row],[Bid Accepted]]-Table13[[#This Row],[Amount Offered]]</f>
        <v>-991</v>
      </c>
      <c r="M275" s="57">
        <f>+IF(Table13[[#This Row],[WAYR Last]]&gt;0,IF(Table13[[#This Row],[WAYR Current]]&gt;0,(Table13[[#This Row],[WAYR Current]]-Table13[[#This Row],[WAYR Last]]),""),"")</f>
        <v>0</v>
      </c>
      <c r="N275" s="5"/>
      <c r="S275" s="67"/>
      <c r="T275" s="67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13"/>
      <c r="AN275" s="78"/>
      <c r="AP275" s="77"/>
      <c r="AQ275" s="5"/>
      <c r="AR275" s="5"/>
      <c r="AU275" s="78"/>
      <c r="AV275" s="64"/>
      <c r="AX275" s="78"/>
      <c r="AY275" s="13"/>
    </row>
    <row r="276" spans="1:51" x14ac:dyDescent="0.2">
      <c r="A276" s="9">
        <v>43901</v>
      </c>
      <c r="B276" s="5"/>
      <c r="C276" s="10">
        <v>182</v>
      </c>
      <c r="D276" s="5" t="s">
        <v>20</v>
      </c>
      <c r="E276" s="14">
        <v>7000</v>
      </c>
      <c r="F276" s="14">
        <v>20042</v>
      </c>
      <c r="G276" s="14">
        <v>7991</v>
      </c>
      <c r="H276" s="33">
        <v>8.01</v>
      </c>
      <c r="I276" s="33">
        <v>7.99</v>
      </c>
      <c r="J276" s="55">
        <f t="array" ref="J27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44085</v>
      </c>
      <c r="K276" s="59">
        <f>IFERROR(Table13[[#This Row],[Bid Accepted]]*(Table13[[#This Row],[WAYR Current]]%/364*Table13[[#This Row],[Days To Maturity]]),0)</f>
        <v>320.03955000000002</v>
      </c>
      <c r="L276" s="41">
        <f>+Table13[[#This Row],[Bid Accepted]]-Table13[[#This Row],[Amount Offered]]</f>
        <v>991</v>
      </c>
      <c r="M276" s="57">
        <f>+IF(Table13[[#This Row],[WAYR Last]]&gt;0,IF(Table13[[#This Row],[WAYR Current]]&gt;0,(Table13[[#This Row],[WAYR Current]]-Table13[[#This Row],[WAYR Last]]),""),"")</f>
        <v>1.9999999999999574E-2</v>
      </c>
      <c r="N276" s="5"/>
      <c r="S276" s="67"/>
      <c r="T276" s="67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13"/>
      <c r="AN276" s="78"/>
      <c r="AP276" s="77"/>
      <c r="AQ276" s="5"/>
      <c r="AR276" s="5"/>
      <c r="AU276" s="78"/>
      <c r="AV276" s="64"/>
      <c r="AX276" s="78"/>
      <c r="AY276" s="13"/>
    </row>
    <row r="277" spans="1:51" x14ac:dyDescent="0.2">
      <c r="A277" s="9">
        <v>43901</v>
      </c>
      <c r="B277" s="5"/>
      <c r="C277" s="5">
        <v>364</v>
      </c>
      <c r="D277" s="5" t="s">
        <v>20</v>
      </c>
      <c r="E277" s="14">
        <v>16000</v>
      </c>
      <c r="F277" s="14">
        <v>44277</v>
      </c>
      <c r="G277" s="14">
        <v>16000</v>
      </c>
      <c r="H277" s="33">
        <v>8.48</v>
      </c>
      <c r="I277" s="33">
        <v>8.4600000000000009</v>
      </c>
      <c r="J277" s="55">
        <f t="array" ref="J27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44266</v>
      </c>
      <c r="K277" s="59">
        <f>IFERROR(Table13[[#This Row],[Bid Accepted]]*(Table13[[#This Row],[WAYR Current]]%/364*Table13[[#This Row],[Days To Maturity]]),0)</f>
        <v>1356.8</v>
      </c>
      <c r="L277" s="41">
        <f>+Table13[[#This Row],[Bid Accepted]]-Table13[[#This Row],[Amount Offered]]</f>
        <v>0</v>
      </c>
      <c r="M277" s="57">
        <f>+IF(Table13[[#This Row],[WAYR Last]]&gt;0,IF(Table13[[#This Row],[WAYR Current]]&gt;0,(Table13[[#This Row],[WAYR Current]]-Table13[[#This Row],[WAYR Last]]),""),"")</f>
        <v>1.9999999999999574E-2</v>
      </c>
      <c r="N277" s="5"/>
      <c r="S277" s="67"/>
      <c r="T277" s="67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13"/>
      <c r="AN277" s="78"/>
      <c r="AP277" s="77"/>
      <c r="AQ277" s="5"/>
      <c r="AR277" s="5"/>
      <c r="AU277" s="78"/>
      <c r="AV277" s="64"/>
      <c r="AX277" s="78"/>
      <c r="AY277" s="13"/>
    </row>
    <row r="278" spans="1:51" x14ac:dyDescent="0.2">
      <c r="A278" s="9">
        <v>43908</v>
      </c>
      <c r="B278" s="5"/>
      <c r="C278" s="10">
        <v>91</v>
      </c>
      <c r="D278" s="5" t="s">
        <v>20</v>
      </c>
      <c r="E278" s="14">
        <v>10000</v>
      </c>
      <c r="F278" s="18">
        <v>24350</v>
      </c>
      <c r="G278" s="18">
        <v>10000</v>
      </c>
      <c r="H278" s="33">
        <v>7.27</v>
      </c>
      <c r="I278" s="33">
        <v>7.41</v>
      </c>
      <c r="J278" s="55">
        <f t="array" ref="J27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44000</v>
      </c>
      <c r="K278" s="59">
        <f>IFERROR(Table13[[#This Row],[Bid Accepted]]*(Table13[[#This Row],[WAYR Current]]%/364*Table13[[#This Row],[Days To Maturity]]),0)</f>
        <v>181.75</v>
      </c>
      <c r="L278" s="41">
        <f>+Table13[[#This Row],[Bid Accepted]]-Table13[[#This Row],[Amount Offered]]</f>
        <v>0</v>
      </c>
      <c r="M278" s="57">
        <f>+IF(Table13[[#This Row],[WAYR Last]]&gt;0,IF(Table13[[#This Row],[WAYR Current]]&gt;0,(Table13[[#This Row],[WAYR Current]]-Table13[[#This Row],[WAYR Last]]),""),"")</f>
        <v>-0.14000000000000057</v>
      </c>
      <c r="N278" s="5"/>
      <c r="S278" s="67"/>
      <c r="T278" s="67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13"/>
      <c r="AN278" s="78"/>
      <c r="AP278" s="77"/>
      <c r="AQ278" s="5"/>
      <c r="AR278" s="5"/>
      <c r="AU278" s="78"/>
      <c r="AV278" s="64"/>
      <c r="AX278" s="78"/>
      <c r="AY278" s="13"/>
    </row>
    <row r="279" spans="1:51" x14ac:dyDescent="0.2">
      <c r="A279" s="9">
        <v>43908</v>
      </c>
      <c r="B279" s="5"/>
      <c r="C279" s="10">
        <v>182</v>
      </c>
      <c r="D279" s="5" t="s">
        <v>20</v>
      </c>
      <c r="E279" s="14">
        <v>7000</v>
      </c>
      <c r="F279" s="14">
        <v>22950</v>
      </c>
      <c r="G279" s="14">
        <v>7000</v>
      </c>
      <c r="H279" s="33">
        <v>7.82</v>
      </c>
      <c r="I279" s="33">
        <v>8.01</v>
      </c>
      <c r="J279" s="55">
        <f t="array" ref="J27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44092</v>
      </c>
      <c r="K279" s="59">
        <f>IFERROR(Table13[[#This Row],[Bid Accepted]]*(Table13[[#This Row],[WAYR Current]]%/364*Table13[[#This Row],[Days To Maturity]]),0)</f>
        <v>273.70000000000005</v>
      </c>
      <c r="L279" s="41">
        <f>+Table13[[#This Row],[Bid Accepted]]-Table13[[#This Row],[Amount Offered]]</f>
        <v>0</v>
      </c>
      <c r="M279" s="57">
        <f>+IF(Table13[[#This Row],[WAYR Last]]&gt;0,IF(Table13[[#This Row],[WAYR Current]]&gt;0,(Table13[[#This Row],[WAYR Current]]-Table13[[#This Row],[WAYR Last]]),""),"")</f>
        <v>-0.1899999999999995</v>
      </c>
      <c r="N279" s="5"/>
      <c r="S279" s="67"/>
      <c r="T279" s="67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13"/>
      <c r="AN279" s="78"/>
      <c r="AP279" s="77"/>
      <c r="AQ279" s="5"/>
      <c r="AR279" s="5"/>
      <c r="AU279" s="78"/>
      <c r="AV279" s="64"/>
      <c r="AX279" s="78"/>
      <c r="AY279" s="13"/>
    </row>
    <row r="280" spans="1:51" x14ac:dyDescent="0.2">
      <c r="A280" s="9">
        <v>43908</v>
      </c>
      <c r="B280" s="5"/>
      <c r="C280" s="5">
        <v>364</v>
      </c>
      <c r="D280" s="5" t="s">
        <v>20</v>
      </c>
      <c r="E280" s="14">
        <v>12000</v>
      </c>
      <c r="F280" s="14">
        <v>39875</v>
      </c>
      <c r="G280" s="14">
        <v>12000</v>
      </c>
      <c r="H280" s="33">
        <v>8.32</v>
      </c>
      <c r="I280" s="33">
        <v>8.48</v>
      </c>
      <c r="J280" s="55">
        <f t="array" ref="J28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44273</v>
      </c>
      <c r="K280" s="59">
        <f>IFERROR(Table13[[#This Row],[Bid Accepted]]*(Table13[[#This Row],[WAYR Current]]%/364*Table13[[#This Row],[Days To Maturity]]),0)</f>
        <v>998.4</v>
      </c>
      <c r="L280" s="41">
        <f>+Table13[[#This Row],[Bid Accepted]]-Table13[[#This Row],[Amount Offered]]</f>
        <v>0</v>
      </c>
      <c r="M280" s="57">
        <f>+IF(Table13[[#This Row],[WAYR Last]]&gt;0,IF(Table13[[#This Row],[WAYR Current]]&gt;0,(Table13[[#This Row],[WAYR Current]]-Table13[[#This Row],[WAYR Last]]),""),"")</f>
        <v>-0.16000000000000014</v>
      </c>
      <c r="N280" s="5"/>
      <c r="S280" s="67"/>
      <c r="T280" s="67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13"/>
      <c r="AN280" s="78"/>
      <c r="AP280" s="77"/>
      <c r="AQ280" s="5"/>
      <c r="AR280" s="5"/>
      <c r="AU280" s="78"/>
      <c r="AV280" s="64"/>
      <c r="AX280" s="78"/>
      <c r="AY280" s="13"/>
    </row>
    <row r="281" spans="1:51" x14ac:dyDescent="0.2">
      <c r="A281" s="9">
        <v>43915</v>
      </c>
      <c r="B281" s="5"/>
      <c r="C281" s="10">
        <v>91</v>
      </c>
      <c r="D281" s="5" t="s">
        <v>20</v>
      </c>
      <c r="E281" s="14">
        <v>8000</v>
      </c>
      <c r="F281" s="14">
        <v>15576</v>
      </c>
      <c r="G281" s="14">
        <v>6500</v>
      </c>
      <c r="H281" s="33">
        <v>7</v>
      </c>
      <c r="I281" s="33">
        <v>7.27</v>
      </c>
      <c r="J281" s="55">
        <f t="array" ref="J28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44007</v>
      </c>
      <c r="K281" s="59">
        <f>IFERROR(Table13[[#This Row],[Bid Accepted]]*(Table13[[#This Row],[WAYR Current]]%/364*Table13[[#This Row],[Days To Maturity]]),0)</f>
        <v>113.75000000000001</v>
      </c>
      <c r="L281" s="41">
        <f>+Table13[[#This Row],[Bid Accepted]]-Table13[[#This Row],[Amount Offered]]</f>
        <v>-1500</v>
      </c>
      <c r="M281" s="57">
        <f>+IF(Table13[[#This Row],[WAYR Last]]&gt;0,IF(Table13[[#This Row],[WAYR Current]]&gt;0,(Table13[[#This Row],[WAYR Current]]-Table13[[#This Row],[WAYR Last]]),""),"")</f>
        <v>-0.26999999999999957</v>
      </c>
      <c r="N281" s="5"/>
      <c r="S281" s="67"/>
      <c r="T281" s="67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13"/>
      <c r="AN281" s="78"/>
      <c r="AP281" s="77"/>
      <c r="AQ281" s="5"/>
      <c r="AR281" s="5"/>
      <c r="AU281" s="78"/>
      <c r="AV281" s="64"/>
      <c r="AX281" s="78"/>
      <c r="AY281" s="13"/>
    </row>
    <row r="282" spans="1:51" x14ac:dyDescent="0.2">
      <c r="A282" s="9">
        <v>43915</v>
      </c>
      <c r="B282" s="5"/>
      <c r="C282" s="10">
        <v>182</v>
      </c>
      <c r="D282" s="5" t="s">
        <v>20</v>
      </c>
      <c r="E282" s="14">
        <v>8000</v>
      </c>
      <c r="F282" s="14">
        <v>17100</v>
      </c>
      <c r="G282" s="14">
        <v>8500</v>
      </c>
      <c r="H282" s="33">
        <v>7.25</v>
      </c>
      <c r="I282" s="33">
        <v>7.82</v>
      </c>
      <c r="J282" s="55">
        <f t="array" ref="J28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44099</v>
      </c>
      <c r="K282" s="59">
        <f>IFERROR(Table13[[#This Row],[Bid Accepted]]*(Table13[[#This Row],[WAYR Current]]%/364*Table13[[#This Row],[Days To Maturity]]),0)</f>
        <v>308.125</v>
      </c>
      <c r="L282" s="41">
        <f>+Table13[[#This Row],[Bid Accepted]]-Table13[[#This Row],[Amount Offered]]</f>
        <v>500</v>
      </c>
      <c r="M282" s="57">
        <f>+IF(Table13[[#This Row],[WAYR Last]]&gt;0,IF(Table13[[#This Row],[WAYR Current]]&gt;0,(Table13[[#This Row],[WAYR Current]]-Table13[[#This Row],[WAYR Last]]),""),"")</f>
        <v>-0.57000000000000028</v>
      </c>
      <c r="N282" s="5"/>
      <c r="S282" s="67"/>
      <c r="T282" s="67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13"/>
      <c r="AN282" s="78"/>
      <c r="AP282" s="77"/>
      <c r="AQ282" s="5"/>
      <c r="AR282" s="5"/>
      <c r="AU282" s="78"/>
      <c r="AV282" s="64"/>
      <c r="AX282" s="78"/>
      <c r="AY282" s="13"/>
    </row>
    <row r="283" spans="1:51" x14ac:dyDescent="0.2">
      <c r="A283" s="9">
        <v>43915</v>
      </c>
      <c r="B283" s="10"/>
      <c r="C283" s="5">
        <v>364</v>
      </c>
      <c r="D283" s="5" t="s">
        <v>20</v>
      </c>
      <c r="E283" s="14">
        <v>14000</v>
      </c>
      <c r="F283" s="18">
        <v>37310</v>
      </c>
      <c r="G283" s="18">
        <v>10000</v>
      </c>
      <c r="H283" s="37">
        <v>7.5</v>
      </c>
      <c r="I283" s="37">
        <v>8.32</v>
      </c>
      <c r="J283" s="12">
        <f t="array" ref="J28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44280</v>
      </c>
      <c r="K283" s="59">
        <f>IFERROR(Table13[[#This Row],[Bid Accepted]]*(Table13[[#This Row],[WAYR Current]]%/364*Table13[[#This Row],[Days To Maturity]]),0)</f>
        <v>750</v>
      </c>
      <c r="L283" s="41">
        <f>+Table13[[#This Row],[Bid Accepted]]-Table13[[#This Row],[Amount Offered]]</f>
        <v>-4000</v>
      </c>
      <c r="M283" s="57">
        <f>+IF(Table13[[#This Row],[WAYR Last]]&gt;0,IF(Table13[[#This Row],[WAYR Current]]&gt;0,(Table13[[#This Row],[WAYR Current]]-Table13[[#This Row],[WAYR Last]]),""),"")</f>
        <v>-0.82000000000000028</v>
      </c>
      <c r="N283" s="5"/>
      <c r="S283" s="67"/>
      <c r="T283" s="67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13"/>
      <c r="AN283" s="78"/>
      <c r="AP283" s="77"/>
      <c r="AQ283" s="5"/>
      <c r="AR283" s="5"/>
      <c r="AU283" s="78"/>
      <c r="AV283" s="64"/>
      <c r="AX283" s="78"/>
      <c r="AY283" s="13"/>
    </row>
    <row r="284" spans="1:51" x14ac:dyDescent="0.2">
      <c r="A284" s="9">
        <v>43922</v>
      </c>
      <c r="B284" s="5"/>
      <c r="C284" s="10">
        <v>91</v>
      </c>
      <c r="D284" s="5" t="s">
        <v>20</v>
      </c>
      <c r="E284" s="14">
        <v>6000</v>
      </c>
      <c r="F284" s="14">
        <v>12628</v>
      </c>
      <c r="G284" s="14">
        <v>6000</v>
      </c>
      <c r="H284" s="33">
        <v>6.8</v>
      </c>
      <c r="I284" s="33">
        <v>7</v>
      </c>
      <c r="J284" s="55">
        <f t="array" ref="J28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44013</v>
      </c>
      <c r="K284" s="59">
        <f>IFERROR(Table13[[#This Row],[Bid Accepted]]*(Table13[[#This Row],[WAYR Current]]%/364*Table13[[#This Row],[Days To Maturity]]),0)</f>
        <v>102.00000000000001</v>
      </c>
      <c r="L284" s="41">
        <f>+Table13[[#This Row],[Bid Accepted]]-Table13[[#This Row],[Amount Offered]]</f>
        <v>0</v>
      </c>
      <c r="M284" s="57">
        <f>+IF(Table13[[#This Row],[WAYR Last]]&gt;0,IF(Table13[[#This Row],[WAYR Current]]&gt;0,(Table13[[#This Row],[WAYR Current]]-Table13[[#This Row],[WAYR Last]]),""),"")</f>
        <v>-0.20000000000000018</v>
      </c>
      <c r="N284" s="5"/>
      <c r="S284" s="67"/>
      <c r="T284" s="67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13"/>
      <c r="AN284" s="78"/>
      <c r="AP284" s="77"/>
      <c r="AQ284" s="5"/>
      <c r="AR284" s="5"/>
      <c r="AU284" s="78"/>
      <c r="AV284" s="64"/>
      <c r="AX284" s="78"/>
      <c r="AY284" s="13"/>
    </row>
    <row r="285" spans="1:51" x14ac:dyDescent="0.2">
      <c r="A285" s="9">
        <v>43922</v>
      </c>
      <c r="B285" s="5"/>
      <c r="C285" s="10">
        <v>182</v>
      </c>
      <c r="D285" s="5" t="s">
        <v>20</v>
      </c>
      <c r="E285" s="14">
        <v>10000</v>
      </c>
      <c r="F285" s="14">
        <v>21000</v>
      </c>
      <c r="G285" s="14">
        <v>12000</v>
      </c>
      <c r="H285" s="33">
        <v>7.1</v>
      </c>
      <c r="I285" s="33">
        <v>7.25</v>
      </c>
      <c r="J285" s="55">
        <f t="array" ref="J28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44105</v>
      </c>
      <c r="K285" s="59">
        <f>IFERROR(Table13[[#This Row],[Bid Accepted]]*(Table13[[#This Row],[WAYR Current]]%/364*Table13[[#This Row],[Days To Maturity]]),0)</f>
        <v>425.99999999999994</v>
      </c>
      <c r="L285" s="41">
        <f>+Table13[[#This Row],[Bid Accepted]]-Table13[[#This Row],[Amount Offered]]</f>
        <v>2000</v>
      </c>
      <c r="M285" s="57">
        <f>+IF(Table13[[#This Row],[WAYR Last]]&gt;0,IF(Table13[[#This Row],[WAYR Current]]&gt;0,(Table13[[#This Row],[WAYR Current]]-Table13[[#This Row],[WAYR Last]]),""),"")</f>
        <v>-0.15000000000000036</v>
      </c>
      <c r="N285" s="5"/>
      <c r="S285" s="67"/>
      <c r="T285" s="67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13"/>
      <c r="AN285" s="78"/>
      <c r="AP285" s="77"/>
      <c r="AQ285" s="5"/>
      <c r="AR285" s="5"/>
      <c r="AU285" s="78"/>
      <c r="AV285" s="64"/>
      <c r="AX285" s="78"/>
      <c r="AY285" s="13"/>
    </row>
    <row r="286" spans="1:51" x14ac:dyDescent="0.2">
      <c r="A286" s="9">
        <v>43922</v>
      </c>
      <c r="B286" s="5"/>
      <c r="C286" s="5">
        <v>364</v>
      </c>
      <c r="D286" s="5" t="s">
        <v>20</v>
      </c>
      <c r="E286" s="14">
        <v>14000</v>
      </c>
      <c r="F286" s="14">
        <v>21300</v>
      </c>
      <c r="G286" s="14">
        <v>7000</v>
      </c>
      <c r="H286" s="33">
        <v>7.4</v>
      </c>
      <c r="I286" s="33">
        <v>7.5</v>
      </c>
      <c r="J286" s="55">
        <f t="array" ref="J28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44287</v>
      </c>
      <c r="K286" s="59">
        <f>IFERROR(Table13[[#This Row],[Bid Accepted]]*(Table13[[#This Row],[WAYR Current]]%/364*Table13[[#This Row],[Days To Maturity]]),0)</f>
        <v>518.00000000000011</v>
      </c>
      <c r="L286" s="41">
        <f>+Table13[[#This Row],[Bid Accepted]]-Table13[[#This Row],[Amount Offered]]</f>
        <v>-7000</v>
      </c>
      <c r="M286" s="57">
        <f>+IF(Table13[[#This Row],[WAYR Last]]&gt;0,IF(Table13[[#This Row],[WAYR Current]]&gt;0,(Table13[[#This Row],[WAYR Current]]-Table13[[#This Row],[WAYR Last]]),""),"")</f>
        <v>-9.9999999999999645E-2</v>
      </c>
      <c r="N286" s="5"/>
      <c r="S286" s="67"/>
      <c r="T286" s="67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13"/>
      <c r="AN286" s="78"/>
      <c r="AP286" s="77"/>
      <c r="AQ286" s="5"/>
      <c r="AR286" s="5"/>
      <c r="AU286" s="78"/>
      <c r="AV286" s="64"/>
      <c r="AX286" s="78"/>
      <c r="AY286" s="13"/>
    </row>
    <row r="287" spans="1:51" x14ac:dyDescent="0.2">
      <c r="A287" s="9">
        <v>43927</v>
      </c>
      <c r="B287" s="5"/>
      <c r="C287" s="10">
        <v>91</v>
      </c>
      <c r="D287" s="5" t="s">
        <v>71</v>
      </c>
      <c r="E287" s="14">
        <v>7000</v>
      </c>
      <c r="F287" s="18">
        <v>19238</v>
      </c>
      <c r="G287" s="37">
        <v>0</v>
      </c>
      <c r="H287" s="37">
        <v>0</v>
      </c>
      <c r="I287" s="33">
        <v>6.8</v>
      </c>
      <c r="J287" s="55">
        <f t="array" ref="J28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44018</v>
      </c>
      <c r="K287" s="59">
        <f>IFERROR(Table13[[#This Row],[Bid Accepted]]*(Table13[[#This Row],[WAYR Current]]%/364*Table13[[#This Row],[Days To Maturity]]),0)</f>
        <v>0</v>
      </c>
      <c r="L287" s="41">
        <f>+Table13[[#This Row],[Bid Accepted]]-Table13[[#This Row],[Amount Offered]]</f>
        <v>-7000</v>
      </c>
      <c r="M287" s="57" t="str">
        <f>+IF(Table13[[#This Row],[WAYR Last]]&gt;0,IF(Table13[[#This Row],[WAYR Current]]&gt;0,(Table13[[#This Row],[WAYR Current]]-Table13[[#This Row],[WAYR Last]]),""),"")</f>
        <v/>
      </c>
      <c r="N287" s="5"/>
      <c r="S287" s="67"/>
      <c r="T287" s="67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13"/>
      <c r="AN287" s="78"/>
      <c r="AP287" s="77"/>
      <c r="AQ287" s="5"/>
      <c r="AR287" s="5"/>
      <c r="AU287" s="78"/>
      <c r="AV287" s="64"/>
      <c r="AX287" s="78"/>
      <c r="AY287" s="13"/>
    </row>
    <row r="288" spans="1:51" x14ac:dyDescent="0.2">
      <c r="A288" s="9">
        <v>43927</v>
      </c>
      <c r="B288" s="5"/>
      <c r="C288" s="10">
        <v>182</v>
      </c>
      <c r="D288" s="5" t="s">
        <v>20</v>
      </c>
      <c r="E288" s="14">
        <v>9000</v>
      </c>
      <c r="F288" s="14">
        <v>16000</v>
      </c>
      <c r="G288" s="14">
        <v>7000</v>
      </c>
      <c r="H288" s="33">
        <v>6.8</v>
      </c>
      <c r="I288" s="33">
        <v>7.1</v>
      </c>
      <c r="J288" s="55">
        <f t="array" ref="J28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44110</v>
      </c>
      <c r="K288" s="59">
        <f>IFERROR(Table13[[#This Row],[Bid Accepted]]*(Table13[[#This Row],[WAYR Current]]%/364*Table13[[#This Row],[Days To Maturity]]),0)</f>
        <v>238.00000000000003</v>
      </c>
      <c r="L288" s="41">
        <f>+Table13[[#This Row],[Bid Accepted]]-Table13[[#This Row],[Amount Offered]]</f>
        <v>-2000</v>
      </c>
      <c r="M288" s="57">
        <f>+IF(Table13[[#This Row],[WAYR Last]]&gt;0,IF(Table13[[#This Row],[WAYR Current]]&gt;0,(Table13[[#This Row],[WAYR Current]]-Table13[[#This Row],[WAYR Last]]),""),"")</f>
        <v>-0.29999999999999982</v>
      </c>
      <c r="N288" s="5"/>
      <c r="S288" s="67"/>
      <c r="T288" s="67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13"/>
      <c r="AN288" s="78"/>
      <c r="AP288" s="77"/>
      <c r="AQ288" s="5"/>
      <c r="AR288" s="5"/>
      <c r="AU288" s="78"/>
      <c r="AV288" s="64"/>
      <c r="AX288" s="78"/>
      <c r="AY288" s="13"/>
    </row>
    <row r="289" spans="1:51" x14ac:dyDescent="0.2">
      <c r="A289" s="9">
        <v>43927</v>
      </c>
      <c r="B289" s="5"/>
      <c r="C289" s="5">
        <v>364</v>
      </c>
      <c r="D289" s="5" t="s">
        <v>20</v>
      </c>
      <c r="E289" s="14">
        <v>14000</v>
      </c>
      <c r="F289" s="14">
        <v>18450</v>
      </c>
      <c r="G289" s="14">
        <v>6900</v>
      </c>
      <c r="H289" s="33">
        <v>7</v>
      </c>
      <c r="I289" s="33">
        <v>7.4</v>
      </c>
      <c r="J289" s="55">
        <f t="array" ref="J28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44292</v>
      </c>
      <c r="K289" s="59">
        <f>IFERROR(Table13[[#This Row],[Bid Accepted]]*(Table13[[#This Row],[WAYR Current]]%/364*Table13[[#This Row],[Days To Maturity]]),0)</f>
        <v>483.00000000000006</v>
      </c>
      <c r="L289" s="41">
        <f>+Table13[[#This Row],[Bid Accepted]]-Table13[[#This Row],[Amount Offered]]</f>
        <v>-7100</v>
      </c>
      <c r="M289" s="57">
        <f>+IF(Table13[[#This Row],[WAYR Last]]&gt;0,IF(Table13[[#This Row],[WAYR Current]]&gt;0,(Table13[[#This Row],[WAYR Current]]-Table13[[#This Row],[WAYR Last]]),""),"")</f>
        <v>-0.40000000000000036</v>
      </c>
      <c r="N289" s="5"/>
      <c r="S289" s="67"/>
      <c r="T289" s="67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13"/>
      <c r="AN289" s="78"/>
      <c r="AP289" s="77"/>
      <c r="AQ289" s="5"/>
      <c r="AR289" s="5"/>
      <c r="AU289" s="78"/>
      <c r="AV289" s="64"/>
      <c r="AX289" s="78"/>
      <c r="AY289" s="13"/>
    </row>
    <row r="290" spans="1:51" x14ac:dyDescent="0.2">
      <c r="A290" s="9">
        <v>43936</v>
      </c>
      <c r="B290" s="10"/>
      <c r="C290" s="10">
        <v>91</v>
      </c>
      <c r="D290" s="5" t="s">
        <v>20</v>
      </c>
      <c r="E290" s="14">
        <v>7000</v>
      </c>
      <c r="F290" s="18">
        <v>9500</v>
      </c>
      <c r="G290" s="18">
        <v>2480</v>
      </c>
      <c r="H290" s="37">
        <v>6.75</v>
      </c>
      <c r="I290" s="37">
        <v>0</v>
      </c>
      <c r="J290" s="12">
        <f t="array" ref="J29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44027</v>
      </c>
      <c r="K290" s="59">
        <f>IFERROR(Table13[[#This Row],[Bid Accepted]]*(Table13[[#This Row],[WAYR Current]]%/364*Table13[[#This Row],[Days To Maturity]]),0)</f>
        <v>41.85</v>
      </c>
      <c r="L290" s="41">
        <f>+Table13[[#This Row],[Bid Accepted]]-Table13[[#This Row],[Amount Offered]]</f>
        <v>-4520</v>
      </c>
      <c r="M290" s="57" t="str">
        <f>+IF(Table13[[#This Row],[WAYR Last]]&gt;0,IF(Table13[[#This Row],[WAYR Current]]&gt;0,(Table13[[#This Row],[WAYR Current]]-Table13[[#This Row],[WAYR Last]]),""),"")</f>
        <v/>
      </c>
      <c r="N290" s="5"/>
      <c r="S290" s="67"/>
      <c r="T290" s="67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13"/>
      <c r="AN290" s="78"/>
      <c r="AP290" s="77"/>
      <c r="AQ290" s="5"/>
      <c r="AR290" s="5"/>
      <c r="AU290" s="78"/>
      <c r="AV290" s="64"/>
      <c r="AX290" s="78"/>
      <c r="AY290" s="13"/>
    </row>
    <row r="291" spans="1:51" x14ac:dyDescent="0.2">
      <c r="A291" s="9">
        <v>43936</v>
      </c>
      <c r="B291" s="5"/>
      <c r="C291" s="10">
        <v>182</v>
      </c>
      <c r="D291" s="5" t="s">
        <v>20</v>
      </c>
      <c r="E291" s="14">
        <v>10000</v>
      </c>
      <c r="F291" s="14">
        <v>12865</v>
      </c>
      <c r="G291" s="14">
        <v>3625</v>
      </c>
      <c r="H291" s="33">
        <v>6.79</v>
      </c>
      <c r="I291" s="33">
        <v>6.8</v>
      </c>
      <c r="J291" s="55">
        <f t="array" ref="J29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44119</v>
      </c>
      <c r="K291" s="59">
        <f>IFERROR(Table13[[#This Row],[Bid Accepted]]*(Table13[[#This Row],[WAYR Current]]%/364*Table13[[#This Row],[Days To Maturity]]),0)</f>
        <v>123.06875000000001</v>
      </c>
      <c r="L291" s="41">
        <f>+Table13[[#This Row],[Bid Accepted]]-Table13[[#This Row],[Amount Offered]]</f>
        <v>-6375</v>
      </c>
      <c r="M291" s="57">
        <f>+IF(Table13[[#This Row],[WAYR Last]]&gt;0,IF(Table13[[#This Row],[WAYR Current]]&gt;0,(Table13[[#This Row],[WAYR Current]]-Table13[[#This Row],[WAYR Last]]),""),"")</f>
        <v>-9.9999999999997868E-3</v>
      </c>
      <c r="N291" s="5"/>
      <c r="S291" s="67"/>
      <c r="T291" s="67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13"/>
      <c r="AN291" s="78"/>
      <c r="AP291" s="77"/>
      <c r="AQ291" s="5"/>
      <c r="AR291" s="5"/>
      <c r="AU291" s="78"/>
      <c r="AV291" s="64"/>
      <c r="AX291" s="78"/>
      <c r="AY291" s="13"/>
    </row>
    <row r="292" spans="1:51" x14ac:dyDescent="0.2">
      <c r="A292" s="9">
        <v>43936</v>
      </c>
      <c r="B292" s="5"/>
      <c r="C292" s="5">
        <v>364</v>
      </c>
      <c r="D292" s="5" t="s">
        <v>20</v>
      </c>
      <c r="E292" s="14">
        <v>13000</v>
      </c>
      <c r="F292" s="14">
        <v>16950</v>
      </c>
      <c r="G292" s="14">
        <v>3800</v>
      </c>
      <c r="H292" s="33">
        <v>7</v>
      </c>
      <c r="I292" s="33">
        <v>7</v>
      </c>
      <c r="J292" s="55">
        <f t="array" ref="J29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44301</v>
      </c>
      <c r="K292" s="59">
        <f>IFERROR(Table13[[#This Row],[Bid Accepted]]*(Table13[[#This Row],[WAYR Current]]%/364*Table13[[#This Row],[Days To Maturity]]),0)</f>
        <v>266</v>
      </c>
      <c r="L292" s="41">
        <f>+Table13[[#This Row],[Bid Accepted]]-Table13[[#This Row],[Amount Offered]]</f>
        <v>-9200</v>
      </c>
      <c r="M292" s="57">
        <f>+IF(Table13[[#This Row],[WAYR Last]]&gt;0,IF(Table13[[#This Row],[WAYR Current]]&gt;0,(Table13[[#This Row],[WAYR Current]]-Table13[[#This Row],[WAYR Last]]),""),"")</f>
        <v>0</v>
      </c>
      <c r="N292" s="5"/>
      <c r="S292" s="67"/>
      <c r="T292" s="67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13"/>
      <c r="AN292" s="78"/>
      <c r="AP292" s="77"/>
      <c r="AQ292" s="5"/>
      <c r="AR292" s="5"/>
      <c r="AU292" s="78"/>
      <c r="AV292" s="64"/>
      <c r="AX292" s="78"/>
      <c r="AY292" s="13"/>
    </row>
    <row r="293" spans="1:51" x14ac:dyDescent="0.2">
      <c r="A293" s="9">
        <v>43943</v>
      </c>
      <c r="B293" s="10"/>
      <c r="C293" s="10">
        <v>91</v>
      </c>
      <c r="D293" s="5" t="s">
        <v>20</v>
      </c>
      <c r="E293" s="14">
        <v>6000</v>
      </c>
      <c r="F293" s="14">
        <v>14915</v>
      </c>
      <c r="G293" s="14">
        <v>9665</v>
      </c>
      <c r="H293" s="33">
        <v>6.75</v>
      </c>
      <c r="I293" s="33">
        <v>6.75</v>
      </c>
      <c r="J293" s="12">
        <f t="array" ref="J29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44034</v>
      </c>
      <c r="K293" s="59">
        <f>IFERROR(Table13[[#This Row],[Bid Accepted]]*(Table13[[#This Row],[WAYR Current]]%/364*Table13[[#This Row],[Days To Maturity]]),0)</f>
        <v>163.09687500000001</v>
      </c>
      <c r="L293" s="41">
        <f>+Table13[[#This Row],[Bid Accepted]]-Table13[[#This Row],[Amount Offered]]</f>
        <v>3665</v>
      </c>
      <c r="M293" s="57">
        <f>+IF(Table13[[#This Row],[WAYR Last]]&gt;0,IF(Table13[[#This Row],[WAYR Current]]&gt;0,(Table13[[#This Row],[WAYR Current]]-Table13[[#This Row],[WAYR Last]]),""),"")</f>
        <v>0</v>
      </c>
      <c r="N293" s="5"/>
      <c r="S293" s="67"/>
      <c r="T293" s="67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13"/>
      <c r="AN293" s="78"/>
      <c r="AP293" s="77"/>
      <c r="AQ293" s="5"/>
      <c r="AR293" s="5"/>
      <c r="AU293" s="78"/>
      <c r="AV293" s="64"/>
      <c r="AX293" s="78"/>
      <c r="AY293" s="13"/>
    </row>
    <row r="294" spans="1:51" x14ac:dyDescent="0.2">
      <c r="A294" s="9">
        <v>43943</v>
      </c>
      <c r="B294" s="5"/>
      <c r="C294" s="10">
        <v>182</v>
      </c>
      <c r="D294" s="5" t="s">
        <v>20</v>
      </c>
      <c r="E294" s="14">
        <v>6000</v>
      </c>
      <c r="F294" s="14">
        <v>14109</v>
      </c>
      <c r="G294" s="14">
        <v>7809</v>
      </c>
      <c r="H294" s="33">
        <v>6.8</v>
      </c>
      <c r="I294" s="33">
        <v>6.79</v>
      </c>
      <c r="J294" s="55">
        <f t="array" ref="J29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44126</v>
      </c>
      <c r="K294" s="59">
        <f>IFERROR(Table13[[#This Row],[Bid Accepted]]*(Table13[[#This Row],[WAYR Current]]%/364*Table13[[#This Row],[Days To Maturity]]),0)</f>
        <v>265.50600000000003</v>
      </c>
      <c r="L294" s="41">
        <f>+Table13[[#This Row],[Bid Accepted]]-Table13[[#This Row],[Amount Offered]]</f>
        <v>1809</v>
      </c>
      <c r="M294" s="57">
        <f>+IF(Table13[[#This Row],[WAYR Last]]&gt;0,IF(Table13[[#This Row],[WAYR Current]]&gt;0,(Table13[[#This Row],[WAYR Current]]-Table13[[#This Row],[WAYR Last]]),""),"")</f>
        <v>9.9999999999997868E-3</v>
      </c>
      <c r="N294" s="5"/>
      <c r="S294" s="67"/>
      <c r="T294" s="67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13"/>
      <c r="AN294" s="78"/>
      <c r="AP294" s="77"/>
      <c r="AQ294" s="5"/>
      <c r="AR294" s="5"/>
      <c r="AU294" s="78"/>
      <c r="AV294" s="64"/>
      <c r="AX294" s="78"/>
      <c r="AY294" s="13"/>
    </row>
    <row r="295" spans="1:51" x14ac:dyDescent="0.2">
      <c r="A295" s="9">
        <v>43943</v>
      </c>
      <c r="B295" s="5"/>
      <c r="C295" s="5">
        <v>364</v>
      </c>
      <c r="D295" s="5" t="s">
        <v>20</v>
      </c>
      <c r="E295" s="14">
        <v>18000</v>
      </c>
      <c r="F295" s="18">
        <v>23057</v>
      </c>
      <c r="G295" s="18">
        <v>4657</v>
      </c>
      <c r="H295" s="37">
        <v>7</v>
      </c>
      <c r="I295" s="33">
        <v>7</v>
      </c>
      <c r="J295" s="55">
        <f t="array" ref="J29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44308</v>
      </c>
      <c r="K295" s="59">
        <f>IFERROR(Table13[[#This Row],[Bid Accepted]]*(Table13[[#This Row],[WAYR Current]]%/364*Table13[[#This Row],[Days To Maturity]]),0)</f>
        <v>325.99</v>
      </c>
      <c r="L295" s="41">
        <f>+Table13[[#This Row],[Bid Accepted]]-Table13[[#This Row],[Amount Offered]]</f>
        <v>-13343</v>
      </c>
      <c r="M295" s="57">
        <f>+IF(Table13[[#This Row],[WAYR Last]]&gt;0,IF(Table13[[#This Row],[WAYR Current]]&gt;0,(Table13[[#This Row],[WAYR Current]]-Table13[[#This Row],[WAYR Last]]),""),"")</f>
        <v>0</v>
      </c>
      <c r="N295" s="5"/>
      <c r="S295" s="67"/>
      <c r="T295" s="67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13"/>
      <c r="AN295" s="78"/>
      <c r="AP295" s="77"/>
      <c r="AQ295" s="5"/>
      <c r="AR295" s="5"/>
      <c r="AU295" s="78"/>
      <c r="AV295" s="64"/>
      <c r="AX295" s="78"/>
      <c r="AY295" s="13"/>
    </row>
    <row r="296" spans="1:51" x14ac:dyDescent="0.2">
      <c r="A296" s="9">
        <v>43949</v>
      </c>
      <c r="B296" s="5"/>
      <c r="C296" s="10">
        <v>91</v>
      </c>
      <c r="D296" s="5" t="s">
        <v>20</v>
      </c>
      <c r="E296" s="14">
        <v>7500</v>
      </c>
      <c r="F296" s="14">
        <v>21915</v>
      </c>
      <c r="G296" s="14">
        <v>17000</v>
      </c>
      <c r="H296" s="33">
        <v>6.75</v>
      </c>
      <c r="I296" s="33">
        <v>6.75</v>
      </c>
      <c r="J296" s="55">
        <f t="array" ref="J29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44040</v>
      </c>
      <c r="K296" s="59">
        <f>IFERROR(Table13[[#This Row],[Bid Accepted]]*(Table13[[#This Row],[WAYR Current]]%/364*Table13[[#This Row],[Days To Maturity]]),0)</f>
        <v>286.875</v>
      </c>
      <c r="L296" s="41">
        <f>+Table13[[#This Row],[Bid Accepted]]-Table13[[#This Row],[Amount Offered]]</f>
        <v>9500</v>
      </c>
      <c r="M296" s="57">
        <f>+IF(Table13[[#This Row],[WAYR Last]]&gt;0,IF(Table13[[#This Row],[WAYR Current]]&gt;0,(Table13[[#This Row],[WAYR Current]]-Table13[[#This Row],[WAYR Last]]),""),"")</f>
        <v>0</v>
      </c>
      <c r="N296" s="5"/>
      <c r="Q296" s="67"/>
      <c r="R296" s="67"/>
      <c r="S296" s="67"/>
      <c r="T296" s="67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13"/>
      <c r="AN296" s="78"/>
      <c r="AP296" s="77"/>
      <c r="AQ296" s="5"/>
      <c r="AR296" s="5"/>
      <c r="AU296" s="78"/>
      <c r="AV296" s="64"/>
      <c r="AX296" s="78"/>
      <c r="AY296" s="13"/>
    </row>
    <row r="297" spans="1:51" x14ac:dyDescent="0.2">
      <c r="A297" s="9">
        <v>43949</v>
      </c>
      <c r="B297" s="5"/>
      <c r="C297" s="10">
        <v>182</v>
      </c>
      <c r="D297" s="5" t="s">
        <v>20</v>
      </c>
      <c r="E297" s="14">
        <v>7500</v>
      </c>
      <c r="F297" s="14">
        <v>13863</v>
      </c>
      <c r="G297" s="14">
        <v>3850</v>
      </c>
      <c r="H297" s="33">
        <v>6.8</v>
      </c>
      <c r="I297" s="33">
        <v>6.8</v>
      </c>
      <c r="J297" s="55">
        <f t="array" ref="J29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44132</v>
      </c>
      <c r="K297" s="59">
        <f>IFERROR(Table13[[#This Row],[Bid Accepted]]*(Table13[[#This Row],[WAYR Current]]%/364*Table13[[#This Row],[Days To Maturity]]),0)</f>
        <v>130.9</v>
      </c>
      <c r="L297" s="41">
        <f>+Table13[[#This Row],[Bid Accepted]]-Table13[[#This Row],[Amount Offered]]</f>
        <v>-3650</v>
      </c>
      <c r="M297" s="57">
        <f>+IF(Table13[[#This Row],[WAYR Last]]&gt;0,IF(Table13[[#This Row],[WAYR Current]]&gt;0,(Table13[[#This Row],[WAYR Current]]-Table13[[#This Row],[WAYR Last]]),""),"")</f>
        <v>0</v>
      </c>
      <c r="N297" s="5"/>
      <c r="Q297" s="67"/>
      <c r="R297" s="67"/>
      <c r="S297" s="67"/>
      <c r="T297" s="67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13"/>
      <c r="AN297" s="78"/>
      <c r="AP297" s="77"/>
      <c r="AQ297" s="5"/>
      <c r="AR297" s="5"/>
      <c r="AU297" s="78"/>
      <c r="AV297" s="64"/>
      <c r="AX297" s="78"/>
      <c r="AY297" s="13"/>
    </row>
    <row r="298" spans="1:51" x14ac:dyDescent="0.2">
      <c r="A298" s="9">
        <v>43949</v>
      </c>
      <c r="B298" s="5"/>
      <c r="C298" s="5">
        <v>364</v>
      </c>
      <c r="D298" s="5" t="s">
        <v>20</v>
      </c>
      <c r="E298" s="14">
        <v>15000</v>
      </c>
      <c r="F298" s="14">
        <v>20750</v>
      </c>
      <c r="G298" s="14">
        <v>2500</v>
      </c>
      <c r="H298" s="33">
        <v>7</v>
      </c>
      <c r="I298" s="33">
        <v>7</v>
      </c>
      <c r="J298" s="55">
        <f t="array" ref="J29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44314</v>
      </c>
      <c r="K298" s="59">
        <f>IFERROR(Table13[[#This Row],[Bid Accepted]]*(Table13[[#This Row],[WAYR Current]]%/364*Table13[[#This Row],[Days To Maturity]]),0)</f>
        <v>175.00000000000003</v>
      </c>
      <c r="L298" s="41">
        <f>+Table13[[#This Row],[Bid Accepted]]-Table13[[#This Row],[Amount Offered]]</f>
        <v>-12500</v>
      </c>
      <c r="M298" s="57">
        <f>+IF(Table13[[#This Row],[WAYR Last]]&gt;0,IF(Table13[[#This Row],[WAYR Current]]&gt;0,(Table13[[#This Row],[WAYR Current]]-Table13[[#This Row],[WAYR Last]]),""),"")</f>
        <v>0</v>
      </c>
      <c r="N298" s="5"/>
      <c r="Q298" s="67"/>
      <c r="R298" s="67"/>
      <c r="S298" s="67"/>
      <c r="T298" s="67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13"/>
      <c r="AN298" s="78"/>
      <c r="AP298" s="77"/>
      <c r="AQ298" s="5"/>
      <c r="AR298" s="5"/>
      <c r="AU298" s="78"/>
      <c r="AV298" s="64"/>
      <c r="AX298" s="78"/>
      <c r="AY298" s="13"/>
    </row>
    <row r="299" spans="1:51" x14ac:dyDescent="0.2">
      <c r="A299" s="9">
        <v>43955</v>
      </c>
      <c r="B299" s="5"/>
      <c r="C299" s="10">
        <v>91</v>
      </c>
      <c r="D299" s="5" t="s">
        <v>20</v>
      </c>
      <c r="E299" s="14">
        <v>8000</v>
      </c>
      <c r="F299" s="14">
        <v>16525</v>
      </c>
      <c r="G299" s="14">
        <v>10275</v>
      </c>
      <c r="H299" s="33">
        <v>6.84</v>
      </c>
      <c r="I299" s="33">
        <v>6.75</v>
      </c>
      <c r="J299" s="55">
        <f t="array" ref="J29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44047</v>
      </c>
      <c r="K299" s="59">
        <f>IFERROR(Table13[[#This Row],[Bid Accepted]]*(Table13[[#This Row],[WAYR Current]]%/364*Table13[[#This Row],[Days To Maturity]]),0)</f>
        <v>175.70250000000001</v>
      </c>
      <c r="L299" s="41">
        <f>+Table13[[#This Row],[Bid Accepted]]-Table13[[#This Row],[Amount Offered]]</f>
        <v>2275</v>
      </c>
      <c r="M299" s="57">
        <f>+IF(Table13[[#This Row],[WAYR Last]]&gt;0,IF(Table13[[#This Row],[WAYR Current]]&gt;0,(Table13[[#This Row],[WAYR Current]]-Table13[[#This Row],[WAYR Last]]),""),"")</f>
        <v>8.9999999999999858E-2</v>
      </c>
      <c r="N299" s="5"/>
      <c r="Q299" s="67"/>
      <c r="R299" s="67"/>
      <c r="S299" s="67"/>
      <c r="T299" s="67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13"/>
      <c r="AN299" s="78"/>
      <c r="AP299" s="77"/>
      <c r="AQ299" s="5"/>
      <c r="AR299" s="5"/>
      <c r="AU299" s="78"/>
      <c r="AV299" s="64"/>
      <c r="AX299" s="78"/>
      <c r="AY299" s="13"/>
    </row>
    <row r="300" spans="1:51" x14ac:dyDescent="0.2">
      <c r="A300" s="9">
        <v>43955</v>
      </c>
      <c r="B300" s="5"/>
      <c r="C300" s="10">
        <v>182</v>
      </c>
      <c r="D300" s="5" t="s">
        <v>20</v>
      </c>
      <c r="E300" s="14">
        <v>6000</v>
      </c>
      <c r="F300" s="14">
        <v>10300</v>
      </c>
      <c r="G300" s="14">
        <v>4130</v>
      </c>
      <c r="H300" s="33">
        <v>6.9</v>
      </c>
      <c r="I300" s="33">
        <v>6.8</v>
      </c>
      <c r="J300" s="55">
        <f t="array" ref="J30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44139</v>
      </c>
      <c r="K300" s="59">
        <f>IFERROR(Table13[[#This Row],[Bid Accepted]]*(Table13[[#This Row],[WAYR Current]]%/364*Table13[[#This Row],[Days To Maturity]]),0)</f>
        <v>142.48500000000001</v>
      </c>
      <c r="L300" s="41">
        <f>+Table13[[#This Row],[Bid Accepted]]-Table13[[#This Row],[Amount Offered]]</f>
        <v>-1870</v>
      </c>
      <c r="M300" s="57">
        <f>+IF(Table13[[#This Row],[WAYR Last]]&gt;0,IF(Table13[[#This Row],[WAYR Current]]&gt;0,(Table13[[#This Row],[WAYR Current]]-Table13[[#This Row],[WAYR Last]]),""),"")</f>
        <v>0.10000000000000053</v>
      </c>
      <c r="N300" s="5"/>
      <c r="Q300" s="67"/>
      <c r="R300" s="67"/>
      <c r="S300" s="67"/>
      <c r="T300" s="67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13"/>
      <c r="AN300" s="78"/>
      <c r="AP300" s="77"/>
      <c r="AQ300" s="5"/>
      <c r="AR300" s="5"/>
      <c r="AU300" s="78"/>
      <c r="AV300" s="64"/>
      <c r="AX300" s="78"/>
      <c r="AY300" s="13"/>
    </row>
    <row r="301" spans="1:51" x14ac:dyDescent="0.2">
      <c r="A301" s="9">
        <v>43955</v>
      </c>
      <c r="B301" s="5"/>
      <c r="C301" s="5">
        <v>364</v>
      </c>
      <c r="D301" s="5" t="s">
        <v>20</v>
      </c>
      <c r="E301" s="14">
        <v>16000</v>
      </c>
      <c r="F301" s="14">
        <v>17910</v>
      </c>
      <c r="G301" s="14">
        <v>4860</v>
      </c>
      <c r="H301" s="33">
        <v>7</v>
      </c>
      <c r="I301" s="33">
        <v>7</v>
      </c>
      <c r="J301" s="55">
        <f t="array" ref="J30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44320</v>
      </c>
      <c r="K301" s="59">
        <f>IFERROR(Table13[[#This Row],[Bid Accepted]]*(Table13[[#This Row],[WAYR Current]]%/364*Table13[[#This Row],[Days To Maturity]]),0)</f>
        <v>340.20000000000005</v>
      </c>
      <c r="L301" s="41">
        <f>+Table13[[#This Row],[Bid Accepted]]-Table13[[#This Row],[Amount Offered]]</f>
        <v>-11140</v>
      </c>
      <c r="M301" s="57">
        <f>+IF(Table13[[#This Row],[WAYR Last]]&gt;0,IF(Table13[[#This Row],[WAYR Current]]&gt;0,(Table13[[#This Row],[WAYR Current]]-Table13[[#This Row],[WAYR Last]]),""),"")</f>
        <v>0</v>
      </c>
      <c r="N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13"/>
      <c r="AN301" s="78"/>
      <c r="AP301" s="77"/>
      <c r="AQ301" s="5"/>
      <c r="AR301" s="5"/>
      <c r="AU301" s="78"/>
      <c r="AV301" s="64"/>
      <c r="AX301" s="78"/>
      <c r="AY301" s="13"/>
    </row>
    <row r="302" spans="1:51" x14ac:dyDescent="0.2">
      <c r="A302" s="9">
        <v>43964</v>
      </c>
      <c r="B302" s="10"/>
      <c r="C302" s="10">
        <v>91</v>
      </c>
      <c r="D302" s="5" t="s">
        <v>20</v>
      </c>
      <c r="E302" s="14">
        <v>7000</v>
      </c>
      <c r="F302" s="18">
        <v>20540</v>
      </c>
      <c r="G302" s="18">
        <v>13830</v>
      </c>
      <c r="H302" s="37">
        <v>6.74</v>
      </c>
      <c r="I302" s="37">
        <v>6.84</v>
      </c>
      <c r="J302" s="12">
        <f t="array" ref="J30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44056</v>
      </c>
      <c r="K302" s="59">
        <f>IFERROR(Table13[[#This Row],[Bid Accepted]]*(Table13[[#This Row],[WAYR Current]]%/364*Table13[[#This Row],[Days To Maturity]]),0)</f>
        <v>233.03550000000001</v>
      </c>
      <c r="L302" s="41">
        <f>+Table13[[#This Row],[Bid Accepted]]-Table13[[#This Row],[Amount Offered]]</f>
        <v>6830</v>
      </c>
      <c r="M302" s="57">
        <f>+IF(Table13[[#This Row],[WAYR Last]]&gt;0,IF(Table13[[#This Row],[WAYR Current]]&gt;0,(Table13[[#This Row],[WAYR Current]]-Table13[[#This Row],[WAYR Last]]),""),"")</f>
        <v>-9.9999999999999645E-2</v>
      </c>
      <c r="N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13"/>
      <c r="AN302" s="78"/>
      <c r="AP302" s="77"/>
      <c r="AQ302" s="5"/>
      <c r="AR302" s="5"/>
      <c r="AU302" s="78"/>
      <c r="AV302" s="64"/>
      <c r="AX302" s="78"/>
      <c r="AY302" s="13"/>
    </row>
    <row r="303" spans="1:51" x14ac:dyDescent="0.2">
      <c r="A303" s="9">
        <v>43964</v>
      </c>
      <c r="B303" s="5"/>
      <c r="C303" s="10">
        <v>182</v>
      </c>
      <c r="D303" s="5" t="s">
        <v>20</v>
      </c>
      <c r="E303" s="14">
        <v>9000</v>
      </c>
      <c r="F303" s="14">
        <v>12250</v>
      </c>
      <c r="G303" s="14">
        <v>5700</v>
      </c>
      <c r="H303" s="33">
        <v>6.83</v>
      </c>
      <c r="I303" s="33">
        <v>6.9</v>
      </c>
      <c r="J303" s="55">
        <f t="array" ref="J30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44148</v>
      </c>
      <c r="K303" s="59">
        <f>IFERROR(Table13[[#This Row],[Bid Accepted]]*(Table13[[#This Row],[WAYR Current]]%/364*Table13[[#This Row],[Days To Maturity]]),0)</f>
        <v>194.655</v>
      </c>
      <c r="L303" s="41">
        <f>+Table13[[#This Row],[Bid Accepted]]-Table13[[#This Row],[Amount Offered]]</f>
        <v>-3300</v>
      </c>
      <c r="M303" s="57">
        <f>+IF(Table13[[#This Row],[WAYR Last]]&gt;0,IF(Table13[[#This Row],[WAYR Current]]&gt;0,(Table13[[#This Row],[WAYR Current]]-Table13[[#This Row],[WAYR Last]]),""),"")</f>
        <v>-7.0000000000000284E-2</v>
      </c>
      <c r="N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13"/>
      <c r="AN303" s="78"/>
      <c r="AP303" s="77"/>
      <c r="AQ303" s="5"/>
      <c r="AR303" s="5"/>
      <c r="AU303" s="78"/>
      <c r="AV303" s="64"/>
      <c r="AX303" s="78"/>
      <c r="AY303" s="13"/>
    </row>
    <row r="304" spans="1:51" x14ac:dyDescent="0.2">
      <c r="A304" s="9">
        <v>43964</v>
      </c>
      <c r="B304" s="5"/>
      <c r="C304" s="5">
        <v>364</v>
      </c>
      <c r="D304" s="5" t="s">
        <v>20</v>
      </c>
      <c r="E304" s="14">
        <v>14000</v>
      </c>
      <c r="F304" s="18">
        <v>20620</v>
      </c>
      <c r="G304" s="18">
        <v>10470</v>
      </c>
      <c r="H304" s="37">
        <v>6.94</v>
      </c>
      <c r="I304" s="33">
        <v>7</v>
      </c>
      <c r="J304" s="55">
        <f t="array" ref="J30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44329</v>
      </c>
      <c r="K304" s="59">
        <f>IFERROR(Table13[[#This Row],[Bid Accepted]]*(Table13[[#This Row],[WAYR Current]]%/364*Table13[[#This Row],[Days To Maturity]]),0)</f>
        <v>726.61800000000005</v>
      </c>
      <c r="L304" s="41">
        <f>+Table13[[#This Row],[Bid Accepted]]-Table13[[#This Row],[Amount Offered]]</f>
        <v>-3530</v>
      </c>
      <c r="M304" s="57">
        <f>+IF(Table13[[#This Row],[WAYR Last]]&gt;0,IF(Table13[[#This Row],[WAYR Current]]&gt;0,(Table13[[#This Row],[WAYR Current]]-Table13[[#This Row],[WAYR Last]]),""),"")</f>
        <v>-5.9999999999999609E-2</v>
      </c>
      <c r="N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13"/>
      <c r="AN304" s="78"/>
      <c r="AP304" s="77"/>
      <c r="AQ304" s="5"/>
      <c r="AR304" s="5"/>
      <c r="AU304" s="78"/>
      <c r="AV304" s="64"/>
      <c r="AX304" s="78"/>
      <c r="AY304" s="13"/>
    </row>
    <row r="305" spans="1:51" x14ac:dyDescent="0.2">
      <c r="A305" s="9">
        <v>43971</v>
      </c>
      <c r="B305" s="10"/>
      <c r="C305" s="10">
        <v>91</v>
      </c>
      <c r="D305" s="5" t="s">
        <v>20</v>
      </c>
      <c r="E305" s="14">
        <v>8000</v>
      </c>
      <c r="F305" s="18">
        <v>21298</v>
      </c>
      <c r="G305" s="18">
        <v>1493</v>
      </c>
      <c r="H305" s="37">
        <v>6.71</v>
      </c>
      <c r="I305" s="37">
        <v>6.74</v>
      </c>
      <c r="J305" s="12">
        <f t="array" ref="J30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44063</v>
      </c>
      <c r="K305" s="59">
        <f>IFERROR(Table13[[#This Row],[Bid Accepted]]*(Table13[[#This Row],[WAYR Current]]%/364*Table13[[#This Row],[Days To Maturity]]),0)</f>
        <v>25.045074999999997</v>
      </c>
      <c r="L305" s="41">
        <f>+Table13[[#This Row],[Bid Accepted]]-Table13[[#This Row],[Amount Offered]]</f>
        <v>-6507</v>
      </c>
      <c r="M305" s="57">
        <f>+IF(Table13[[#This Row],[WAYR Last]]&gt;0,IF(Table13[[#This Row],[WAYR Current]]&gt;0,(Table13[[#This Row],[WAYR Current]]-Table13[[#This Row],[WAYR Last]]),""),"")</f>
        <v>-3.0000000000000249E-2</v>
      </c>
      <c r="N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13"/>
      <c r="AN305" s="78"/>
      <c r="AP305" s="77"/>
      <c r="AQ305" s="5"/>
      <c r="AR305" s="5"/>
      <c r="AU305" s="78"/>
      <c r="AV305" s="64"/>
      <c r="AX305" s="78"/>
      <c r="AY305" s="13"/>
    </row>
    <row r="306" spans="1:51" x14ac:dyDescent="0.2">
      <c r="A306" s="9">
        <v>43971</v>
      </c>
      <c r="B306" s="5"/>
      <c r="C306" s="10">
        <v>182</v>
      </c>
      <c r="D306" s="5" t="s">
        <v>20</v>
      </c>
      <c r="E306" s="14">
        <v>6000</v>
      </c>
      <c r="F306" s="18">
        <v>15950</v>
      </c>
      <c r="G306" s="18">
        <v>10750</v>
      </c>
      <c r="H306" s="37">
        <v>6.83</v>
      </c>
      <c r="I306" s="33">
        <v>6.83</v>
      </c>
      <c r="J306" s="55">
        <f t="array" ref="J30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44155</v>
      </c>
      <c r="K306" s="59">
        <f>IFERROR(Table13[[#This Row],[Bid Accepted]]*(Table13[[#This Row],[WAYR Current]]%/364*Table13[[#This Row],[Days To Maturity]]),0)</f>
        <v>367.11250000000001</v>
      </c>
      <c r="L306" s="41">
        <f>+Table13[[#This Row],[Bid Accepted]]-Table13[[#This Row],[Amount Offered]]</f>
        <v>4750</v>
      </c>
      <c r="M306" s="57">
        <f>+IF(Table13[[#This Row],[WAYR Last]]&gt;0,IF(Table13[[#This Row],[WAYR Current]]&gt;0,(Table13[[#This Row],[WAYR Current]]-Table13[[#This Row],[WAYR Last]]),""),"")</f>
        <v>0</v>
      </c>
      <c r="N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13"/>
      <c r="AN306" s="78"/>
      <c r="AP306" s="77"/>
      <c r="AQ306" s="5"/>
      <c r="AR306" s="5"/>
      <c r="AU306" s="78"/>
      <c r="AV306" s="64"/>
      <c r="AX306" s="78"/>
      <c r="AY306" s="13"/>
    </row>
    <row r="307" spans="1:51" x14ac:dyDescent="0.2">
      <c r="A307" s="9">
        <v>43971</v>
      </c>
      <c r="B307" s="5"/>
      <c r="C307" s="5">
        <v>364</v>
      </c>
      <c r="D307" s="5" t="s">
        <v>20</v>
      </c>
      <c r="E307" s="14">
        <v>16000</v>
      </c>
      <c r="F307" s="14">
        <v>30107</v>
      </c>
      <c r="G307" s="14">
        <v>17757</v>
      </c>
      <c r="H307" s="33">
        <v>6.93</v>
      </c>
      <c r="I307" s="33">
        <v>6.94</v>
      </c>
      <c r="J307" s="55">
        <f t="array" ref="J30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44336</v>
      </c>
      <c r="K307" s="59">
        <f>IFERROR(Table13[[#This Row],[Bid Accepted]]*(Table13[[#This Row],[WAYR Current]]%/364*Table13[[#This Row],[Days To Maturity]]),0)</f>
        <v>1230.5600999999999</v>
      </c>
      <c r="L307" s="41">
        <f>+Table13[[#This Row],[Bid Accepted]]-Table13[[#This Row],[Amount Offered]]</f>
        <v>1757</v>
      </c>
      <c r="M307" s="57">
        <f>+IF(Table13[[#This Row],[WAYR Last]]&gt;0,IF(Table13[[#This Row],[WAYR Current]]&gt;0,(Table13[[#This Row],[WAYR Current]]-Table13[[#This Row],[WAYR Last]]),""),"")</f>
        <v>-1.0000000000000675E-2</v>
      </c>
      <c r="N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13"/>
      <c r="AN307" s="78"/>
      <c r="AP307" s="77"/>
      <c r="AQ307" s="5"/>
      <c r="AR307" s="5"/>
      <c r="AU307" s="78"/>
      <c r="AV307" s="64"/>
      <c r="AX307" s="78"/>
      <c r="AY307" s="13"/>
    </row>
    <row r="308" spans="1:51" x14ac:dyDescent="0.2">
      <c r="A308" s="9">
        <v>43978</v>
      </c>
      <c r="B308" s="5"/>
      <c r="C308" s="10">
        <v>91</v>
      </c>
      <c r="D308" s="5" t="s">
        <v>20</v>
      </c>
      <c r="E308" s="14">
        <v>8000</v>
      </c>
      <c r="F308" s="14">
        <v>24300</v>
      </c>
      <c r="G308" s="14">
        <v>8000</v>
      </c>
      <c r="H308" s="33">
        <v>6.69</v>
      </c>
      <c r="I308" s="33">
        <v>6.71</v>
      </c>
      <c r="J308" s="55">
        <f t="array" ref="J30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44070</v>
      </c>
      <c r="K308" s="59">
        <f>IFERROR(Table13[[#This Row],[Bid Accepted]]*(Table13[[#This Row],[WAYR Current]]%/364*Table13[[#This Row],[Days To Maturity]]),0)</f>
        <v>133.80000000000001</v>
      </c>
      <c r="L308" s="41">
        <f>+Table13[[#This Row],[Bid Accepted]]-Table13[[#This Row],[Amount Offered]]</f>
        <v>0</v>
      </c>
      <c r="M308" s="57">
        <f>+IF(Table13[[#This Row],[WAYR Last]]&gt;0,IF(Table13[[#This Row],[WAYR Current]]&gt;0,(Table13[[#This Row],[WAYR Current]]-Table13[[#This Row],[WAYR Last]]),""),"")</f>
        <v>-1.9999999999999574E-2</v>
      </c>
      <c r="N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13"/>
      <c r="AN308" s="78"/>
      <c r="AP308" s="77"/>
      <c r="AQ308" s="5"/>
      <c r="AR308" s="5"/>
      <c r="AU308" s="78"/>
      <c r="AV308" s="64"/>
      <c r="AX308" s="78"/>
      <c r="AY308" s="13"/>
    </row>
    <row r="309" spans="1:51" x14ac:dyDescent="0.2">
      <c r="A309" s="53">
        <v>43978</v>
      </c>
      <c r="B309" s="5"/>
      <c r="C309" s="10">
        <v>182</v>
      </c>
      <c r="D309" s="5" t="s">
        <v>20</v>
      </c>
      <c r="E309" s="14">
        <v>6000</v>
      </c>
      <c r="F309" s="14">
        <v>19700</v>
      </c>
      <c r="G309" s="14">
        <v>11068</v>
      </c>
      <c r="H309" s="33">
        <v>6.82</v>
      </c>
      <c r="I309" s="33">
        <v>6.83</v>
      </c>
      <c r="J309" s="55">
        <f t="array" ref="J30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44162</v>
      </c>
      <c r="K309" s="59">
        <f>IFERROR(Table13[[#This Row],[Bid Accepted]]*(Table13[[#This Row],[WAYR Current]]%/364*Table13[[#This Row],[Days To Maturity]]),0)</f>
        <v>377.41879999999998</v>
      </c>
      <c r="L309" s="41">
        <f>+Table13[[#This Row],[Bid Accepted]]-Table13[[#This Row],[Amount Offered]]</f>
        <v>5068</v>
      </c>
      <c r="M309" s="57">
        <f>+IF(Table13[[#This Row],[WAYR Last]]&gt;0,IF(Table13[[#This Row],[WAYR Current]]&gt;0,(Table13[[#This Row],[WAYR Current]]-Table13[[#This Row],[WAYR Last]]),""),"")</f>
        <v>-9.9999999999997868E-3</v>
      </c>
      <c r="N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13"/>
      <c r="AN309" s="78"/>
      <c r="AP309" s="77"/>
      <c r="AQ309" s="5"/>
      <c r="AR309" s="5"/>
      <c r="AU309" s="78"/>
      <c r="AV309" s="64"/>
      <c r="AX309" s="78"/>
      <c r="AY309" s="13"/>
    </row>
    <row r="310" spans="1:51" x14ac:dyDescent="0.2">
      <c r="A310" s="53">
        <v>43978</v>
      </c>
      <c r="B310" s="5"/>
      <c r="C310" s="5">
        <v>364</v>
      </c>
      <c r="D310" s="5" t="s">
        <v>20</v>
      </c>
      <c r="E310" s="14">
        <v>16000</v>
      </c>
      <c r="F310" s="14">
        <v>22682</v>
      </c>
      <c r="G310" s="14">
        <v>10932</v>
      </c>
      <c r="H310" s="33">
        <v>6.93</v>
      </c>
      <c r="I310" s="33">
        <v>6.93</v>
      </c>
      <c r="J310" s="55">
        <f t="array" ref="J31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44343</v>
      </c>
      <c r="K310" s="59">
        <f>IFERROR(Table13[[#This Row],[Bid Accepted]]*(Table13[[#This Row],[WAYR Current]]%/364*Table13[[#This Row],[Days To Maturity]]),0)</f>
        <v>757.58759999999995</v>
      </c>
      <c r="L310" s="41">
        <f>+Table13[[#This Row],[Bid Accepted]]-Table13[[#This Row],[Amount Offered]]</f>
        <v>-5068</v>
      </c>
      <c r="M310" s="57">
        <f>+IF(Table13[[#This Row],[WAYR Last]]&gt;0,IF(Table13[[#This Row],[WAYR Current]]&gt;0,(Table13[[#This Row],[WAYR Current]]-Table13[[#This Row],[WAYR Last]]),""),"")</f>
        <v>0</v>
      </c>
      <c r="N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13"/>
      <c r="AN310" s="78"/>
      <c r="AP310" s="77"/>
      <c r="AQ310" s="5"/>
      <c r="AR310" s="5"/>
      <c r="AU310" s="78"/>
      <c r="AV310" s="64"/>
      <c r="AX310" s="78"/>
      <c r="AY310" s="13"/>
    </row>
    <row r="311" spans="1:51" x14ac:dyDescent="0.2">
      <c r="A311" s="53">
        <v>43984</v>
      </c>
      <c r="B311" s="5"/>
      <c r="C311" s="10">
        <v>91</v>
      </c>
      <c r="D311" s="5" t="s">
        <v>20</v>
      </c>
      <c r="E311" s="14">
        <v>14000</v>
      </c>
      <c r="F311" s="14">
        <v>15700</v>
      </c>
      <c r="G311" s="14">
        <v>4400</v>
      </c>
      <c r="H311" s="33">
        <v>6.93</v>
      </c>
      <c r="I311" s="33">
        <v>6.69</v>
      </c>
      <c r="J311" s="55">
        <f t="array" ref="J31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44076</v>
      </c>
      <c r="K311" s="59">
        <f>IFERROR(Table13[[#This Row],[Bid Accepted]]*(Table13[[#This Row],[WAYR Current]]%/364*Table13[[#This Row],[Days To Maturity]]),0)</f>
        <v>76.23</v>
      </c>
      <c r="L311" s="41">
        <f>+Table13[[#This Row],[Bid Accepted]]-Table13[[#This Row],[Amount Offered]]</f>
        <v>-9600</v>
      </c>
      <c r="M311" s="57">
        <f>+IF(Table13[[#This Row],[WAYR Last]]&gt;0,IF(Table13[[#This Row],[WAYR Current]]&gt;0,(Table13[[#This Row],[WAYR Current]]-Table13[[#This Row],[WAYR Last]]),""),"")</f>
        <v>0.23999999999999932</v>
      </c>
      <c r="N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13"/>
      <c r="AN311" s="78"/>
      <c r="AP311" s="77"/>
      <c r="AQ311" s="5"/>
      <c r="AR311" s="5"/>
      <c r="AU311" s="78"/>
      <c r="AV311" s="64"/>
      <c r="AX311" s="78"/>
      <c r="AY311" s="13"/>
    </row>
    <row r="312" spans="1:51" x14ac:dyDescent="0.2">
      <c r="A312" s="9">
        <v>43984</v>
      </c>
      <c r="B312" s="10"/>
      <c r="C312" s="10">
        <v>182</v>
      </c>
      <c r="D312" s="5" t="s">
        <v>20</v>
      </c>
      <c r="E312" s="14">
        <v>2500</v>
      </c>
      <c r="F312" s="18">
        <v>8023</v>
      </c>
      <c r="G312" s="18">
        <v>6223</v>
      </c>
      <c r="H312" s="37">
        <v>6.8</v>
      </c>
      <c r="I312" s="37">
        <v>6.82</v>
      </c>
      <c r="J312" s="12">
        <f t="array" ref="J31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44167</v>
      </c>
      <c r="K312" s="59">
        <f>IFERROR(Table13[[#This Row],[Bid Accepted]]*(Table13[[#This Row],[WAYR Current]]%/364*Table13[[#This Row],[Days To Maturity]]),0)</f>
        <v>211.58200000000002</v>
      </c>
      <c r="L312" s="41">
        <f>+Table13[[#This Row],[Bid Accepted]]-Table13[[#This Row],[Amount Offered]]</f>
        <v>3723</v>
      </c>
      <c r="M312" s="57">
        <f>+IF(Table13[[#This Row],[WAYR Last]]&gt;0,IF(Table13[[#This Row],[WAYR Current]]&gt;0,(Table13[[#This Row],[WAYR Current]]-Table13[[#This Row],[WAYR Last]]),""),"")</f>
        <v>-2.0000000000000462E-2</v>
      </c>
      <c r="N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13"/>
      <c r="AN312" s="78"/>
      <c r="AP312" s="77"/>
      <c r="AQ312" s="5"/>
      <c r="AR312" s="5"/>
      <c r="AU312" s="78"/>
      <c r="AV312" s="64"/>
      <c r="AX312" s="78"/>
      <c r="AY312" s="13"/>
    </row>
    <row r="313" spans="1:51" x14ac:dyDescent="0.2">
      <c r="A313" s="53">
        <v>43984</v>
      </c>
      <c r="B313" s="5"/>
      <c r="C313" s="5">
        <v>364</v>
      </c>
      <c r="D313" s="5" t="s">
        <v>20</v>
      </c>
      <c r="E313" s="14">
        <v>5000</v>
      </c>
      <c r="F313" s="14">
        <v>12790</v>
      </c>
      <c r="G313" s="14">
        <v>9840</v>
      </c>
      <c r="H313" s="33">
        <v>6.68</v>
      </c>
      <c r="I313" s="33">
        <v>6.93</v>
      </c>
      <c r="J313" s="55">
        <f t="array" ref="J31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44349</v>
      </c>
      <c r="K313" s="59">
        <f>IFERROR(Table13[[#This Row],[Bid Accepted]]*(Table13[[#This Row],[WAYR Current]]%/364*Table13[[#This Row],[Days To Maturity]]),0)</f>
        <v>657.31200000000001</v>
      </c>
      <c r="L313" s="41">
        <f>+Table13[[#This Row],[Bid Accepted]]-Table13[[#This Row],[Amount Offered]]</f>
        <v>4840</v>
      </c>
      <c r="M313" s="57">
        <f>+IF(Table13[[#This Row],[WAYR Last]]&gt;0,IF(Table13[[#This Row],[WAYR Current]]&gt;0,(Table13[[#This Row],[WAYR Current]]-Table13[[#This Row],[WAYR Last]]),""),"")</f>
        <v>-0.25</v>
      </c>
      <c r="N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13"/>
      <c r="AN313" s="78"/>
      <c r="AP313" s="77"/>
      <c r="AQ313" s="5"/>
      <c r="AR313" s="5"/>
      <c r="AU313" s="78"/>
      <c r="AV313" s="64"/>
      <c r="AX313" s="78"/>
      <c r="AY313" s="13"/>
    </row>
    <row r="314" spans="1:51" x14ac:dyDescent="0.2">
      <c r="A314" s="53">
        <v>43992</v>
      </c>
      <c r="B314" s="10"/>
      <c r="C314" s="10">
        <v>91</v>
      </c>
      <c r="D314" s="5" t="s">
        <v>20</v>
      </c>
      <c r="E314" s="14">
        <v>7000</v>
      </c>
      <c r="F314" s="18">
        <v>9300</v>
      </c>
      <c r="G314" s="18">
        <v>5300</v>
      </c>
      <c r="H314" s="37">
        <v>6.67</v>
      </c>
      <c r="I314" s="37">
        <v>6.93</v>
      </c>
      <c r="J314" s="12">
        <f t="array" ref="J31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44084</v>
      </c>
      <c r="K314" s="59">
        <f>IFERROR(Table13[[#This Row],[Bid Accepted]]*(Table13[[#This Row],[WAYR Current]]%/364*Table13[[#This Row],[Days To Maturity]]),0)</f>
        <v>88.377499999999998</v>
      </c>
      <c r="L314" s="41">
        <f>+Table13[[#This Row],[Bid Accepted]]-Table13[[#This Row],[Amount Offered]]</f>
        <v>-1700</v>
      </c>
      <c r="M314" s="57">
        <f>+IF(Table13[[#This Row],[WAYR Last]]&gt;0,IF(Table13[[#This Row],[WAYR Current]]&gt;0,(Table13[[#This Row],[WAYR Current]]-Table13[[#This Row],[WAYR Last]]),""),"")</f>
        <v>-0.25999999999999979</v>
      </c>
      <c r="N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13"/>
      <c r="AN314" s="78"/>
      <c r="AP314" s="77"/>
      <c r="AQ314" s="5"/>
      <c r="AR314" s="5"/>
      <c r="AU314" s="78"/>
      <c r="AV314" s="64"/>
      <c r="AX314" s="78"/>
      <c r="AY314" s="13"/>
    </row>
    <row r="315" spans="1:51" x14ac:dyDescent="0.2">
      <c r="A315" s="53">
        <v>43992</v>
      </c>
      <c r="B315" s="5"/>
      <c r="C315" s="10">
        <v>182</v>
      </c>
      <c r="D315" s="5" t="s">
        <v>20</v>
      </c>
      <c r="E315" s="14">
        <v>4000</v>
      </c>
      <c r="F315" s="14">
        <v>13150</v>
      </c>
      <c r="G315" s="14">
        <v>10200</v>
      </c>
      <c r="H315" s="33">
        <v>6.78</v>
      </c>
      <c r="I315" s="33">
        <v>6.8</v>
      </c>
      <c r="J315" s="55">
        <f t="array" ref="J31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44175</v>
      </c>
      <c r="K315" s="59">
        <f>IFERROR(Table13[[#This Row],[Bid Accepted]]*(Table13[[#This Row],[WAYR Current]]%/364*Table13[[#This Row],[Days To Maturity]]),0)</f>
        <v>345.78</v>
      </c>
      <c r="L315" s="41">
        <f>+Table13[[#This Row],[Bid Accepted]]-Table13[[#This Row],[Amount Offered]]</f>
        <v>6200</v>
      </c>
      <c r="M315" s="57">
        <f>+IF(Table13[[#This Row],[WAYR Last]]&gt;0,IF(Table13[[#This Row],[WAYR Current]]&gt;0,(Table13[[#This Row],[WAYR Current]]-Table13[[#This Row],[WAYR Last]]),""),"")</f>
        <v>-1.9999999999999574E-2</v>
      </c>
      <c r="N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13"/>
      <c r="AN315" s="78"/>
      <c r="AP315" s="77"/>
      <c r="AQ315" s="5"/>
      <c r="AR315" s="5"/>
      <c r="AU315" s="78"/>
      <c r="AV315" s="64"/>
      <c r="AX315" s="78"/>
      <c r="AY315" s="13"/>
    </row>
    <row r="316" spans="1:51" x14ac:dyDescent="0.2">
      <c r="A316" s="53">
        <v>43992</v>
      </c>
      <c r="B316" s="5"/>
      <c r="C316" s="5">
        <v>364</v>
      </c>
      <c r="D316" s="5" t="s">
        <v>20</v>
      </c>
      <c r="E316" s="14">
        <v>12000</v>
      </c>
      <c r="F316" s="14">
        <v>16300</v>
      </c>
      <c r="G316" s="14">
        <v>5700</v>
      </c>
      <c r="H316" s="33">
        <v>6.92</v>
      </c>
      <c r="I316" s="33">
        <v>6.68</v>
      </c>
      <c r="J316" s="55">
        <f t="array" ref="J31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44357</v>
      </c>
      <c r="K316" s="59">
        <f>IFERROR(Table13[[#This Row],[Bid Accepted]]*(Table13[[#This Row],[WAYR Current]]%/364*Table13[[#This Row],[Days To Maturity]]),0)</f>
        <v>394.44</v>
      </c>
      <c r="L316" s="41">
        <f>+Table13[[#This Row],[Bid Accepted]]-Table13[[#This Row],[Amount Offered]]</f>
        <v>-6300</v>
      </c>
      <c r="M316" s="57">
        <f>+IF(Table13[[#This Row],[WAYR Last]]&gt;0,IF(Table13[[#This Row],[WAYR Current]]&gt;0,(Table13[[#This Row],[WAYR Current]]-Table13[[#This Row],[WAYR Last]]),""),"")</f>
        <v>0.24000000000000021</v>
      </c>
      <c r="N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13"/>
      <c r="AN316" s="78"/>
      <c r="AP316" s="77"/>
      <c r="AQ316" s="5"/>
      <c r="AR316" s="5"/>
      <c r="AU316" s="78"/>
      <c r="AV316" s="64"/>
      <c r="AX316" s="78"/>
      <c r="AY316" s="13"/>
    </row>
    <row r="317" spans="1:51" x14ac:dyDescent="0.2">
      <c r="A317" s="53">
        <v>43999</v>
      </c>
      <c r="B317" s="5"/>
      <c r="C317" s="10">
        <v>91</v>
      </c>
      <c r="D317" s="5" t="s">
        <v>20</v>
      </c>
      <c r="E317" s="14">
        <v>8000</v>
      </c>
      <c r="F317" s="14">
        <v>34505</v>
      </c>
      <c r="G317" s="14">
        <v>5000</v>
      </c>
      <c r="H317" s="33">
        <v>6.3</v>
      </c>
      <c r="I317" s="33">
        <v>6.67</v>
      </c>
      <c r="J317" s="55">
        <f t="array" ref="J31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44091</v>
      </c>
      <c r="K317" s="59">
        <f>IFERROR(Table13[[#This Row],[Bid Accepted]]*(Table13[[#This Row],[WAYR Current]]%/364*Table13[[#This Row],[Days To Maturity]]),0)</f>
        <v>78.75</v>
      </c>
      <c r="L317" s="41">
        <f>+Table13[[#This Row],[Bid Accepted]]-Table13[[#This Row],[Amount Offered]]</f>
        <v>-3000</v>
      </c>
      <c r="M317" s="57">
        <f>+IF(Table13[[#This Row],[WAYR Last]]&gt;0,IF(Table13[[#This Row],[WAYR Current]]&gt;0,(Table13[[#This Row],[WAYR Current]]-Table13[[#This Row],[WAYR Last]]),""),"")</f>
        <v>-0.37000000000000011</v>
      </c>
      <c r="N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13"/>
      <c r="AN317" s="78"/>
      <c r="AP317" s="77"/>
      <c r="AQ317" s="5"/>
      <c r="AR317" s="5"/>
      <c r="AU317" s="78"/>
      <c r="AV317" s="64"/>
      <c r="AX317" s="78"/>
      <c r="AY317" s="13"/>
    </row>
    <row r="318" spans="1:51" x14ac:dyDescent="0.2">
      <c r="A318" s="53">
        <v>43999</v>
      </c>
      <c r="B318" s="5"/>
      <c r="C318" s="10">
        <v>182</v>
      </c>
      <c r="D318" s="5" t="s">
        <v>20</v>
      </c>
      <c r="E318" s="14">
        <v>3000</v>
      </c>
      <c r="F318" s="14">
        <v>34620</v>
      </c>
      <c r="G318" s="14">
        <v>3000</v>
      </c>
      <c r="H318" s="33">
        <v>6.3</v>
      </c>
      <c r="I318" s="33">
        <v>6.78</v>
      </c>
      <c r="J318" s="55">
        <f t="array" ref="J31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44182</v>
      </c>
      <c r="K318" s="59">
        <f>IFERROR(Table13[[#This Row],[Bid Accepted]]*(Table13[[#This Row],[WAYR Current]]%/364*Table13[[#This Row],[Days To Maturity]]),0)</f>
        <v>94.5</v>
      </c>
      <c r="L318" s="41">
        <f>+Table13[[#This Row],[Bid Accepted]]-Table13[[#This Row],[Amount Offered]]</f>
        <v>0</v>
      </c>
      <c r="M318" s="57">
        <f>+IF(Table13[[#This Row],[WAYR Last]]&gt;0,IF(Table13[[#This Row],[WAYR Current]]&gt;0,(Table13[[#This Row],[WAYR Current]]-Table13[[#This Row],[WAYR Last]]),""),"")</f>
        <v>-0.48000000000000043</v>
      </c>
      <c r="N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13"/>
      <c r="AN318" s="78"/>
      <c r="AP318" s="77"/>
      <c r="AQ318" s="5"/>
      <c r="AR318" s="5"/>
      <c r="AU318" s="78"/>
      <c r="AV318" s="64"/>
      <c r="AX318" s="78"/>
      <c r="AY318" s="13"/>
    </row>
    <row r="319" spans="1:51" x14ac:dyDescent="0.2">
      <c r="A319" s="53">
        <v>43999</v>
      </c>
      <c r="B319" s="5"/>
      <c r="C319" s="5">
        <v>364</v>
      </c>
      <c r="D319" s="5" t="s">
        <v>20</v>
      </c>
      <c r="E319" s="14">
        <v>12000</v>
      </c>
      <c r="F319" s="14">
        <v>64678</v>
      </c>
      <c r="G319" s="14">
        <v>15000</v>
      </c>
      <c r="H319" s="33">
        <v>6.62</v>
      </c>
      <c r="I319" s="33">
        <v>6.92</v>
      </c>
      <c r="J319" s="55">
        <f t="array" ref="J31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44364</v>
      </c>
      <c r="K319" s="59">
        <f>IFERROR(Table13[[#This Row],[Bid Accepted]]*(Table13[[#This Row],[WAYR Current]]%/364*Table13[[#This Row],[Days To Maturity]]),0)</f>
        <v>992.99999999999989</v>
      </c>
      <c r="L319" s="41">
        <f>+Table13[[#This Row],[Bid Accepted]]-Table13[[#This Row],[Amount Offered]]</f>
        <v>3000</v>
      </c>
      <c r="M319" s="57">
        <f>+IF(Table13[[#This Row],[WAYR Last]]&gt;0,IF(Table13[[#This Row],[WAYR Current]]&gt;0,(Table13[[#This Row],[WAYR Current]]-Table13[[#This Row],[WAYR Last]]),""),"")</f>
        <v>-0.29999999999999982</v>
      </c>
      <c r="N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13"/>
      <c r="AN319" s="78"/>
      <c r="AP319" s="77"/>
      <c r="AQ319" s="5"/>
      <c r="AR319" s="5"/>
      <c r="AU319" s="78"/>
      <c r="AV319" s="64"/>
      <c r="AX319" s="78"/>
      <c r="AY319" s="13"/>
    </row>
    <row r="320" spans="1:51" x14ac:dyDescent="0.2">
      <c r="A320" s="53">
        <v>44006</v>
      </c>
      <c r="B320" s="5"/>
      <c r="C320" s="10">
        <v>91</v>
      </c>
      <c r="D320" s="5" t="s">
        <v>20</v>
      </c>
      <c r="E320" s="14">
        <v>7500</v>
      </c>
      <c r="F320" s="14">
        <v>29900</v>
      </c>
      <c r="G320" s="14">
        <v>7500</v>
      </c>
      <c r="H320" s="33">
        <v>5.5</v>
      </c>
      <c r="I320" s="33">
        <v>6.3</v>
      </c>
      <c r="J320" s="55">
        <f t="array" ref="J32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44098</v>
      </c>
      <c r="K320" s="59">
        <f>IFERROR(Table13[[#This Row],[Bid Accepted]]*(Table13[[#This Row],[WAYR Current]]%/364*Table13[[#This Row],[Days To Maturity]]),0)</f>
        <v>103.125</v>
      </c>
      <c r="L320" s="41">
        <f>+Table13[[#This Row],[Bid Accepted]]-Table13[[#This Row],[Amount Offered]]</f>
        <v>0</v>
      </c>
      <c r="M320" s="57">
        <f>+IF(Table13[[#This Row],[WAYR Last]]&gt;0,IF(Table13[[#This Row],[WAYR Current]]&gt;0,(Table13[[#This Row],[WAYR Current]]-Table13[[#This Row],[WAYR Last]]),""),"")</f>
        <v>-0.79999999999999982</v>
      </c>
      <c r="N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13"/>
      <c r="AN320" s="78"/>
      <c r="AP320" s="77"/>
      <c r="AQ320" s="5"/>
      <c r="AR320" s="5"/>
      <c r="AU320" s="78"/>
      <c r="AV320" s="64"/>
      <c r="AX320" s="78"/>
      <c r="AY320" s="13"/>
    </row>
    <row r="321" spans="1:51" x14ac:dyDescent="0.2">
      <c r="A321" s="53">
        <v>44006</v>
      </c>
      <c r="B321" s="5"/>
      <c r="C321" s="10">
        <v>182</v>
      </c>
      <c r="D321" s="5" t="s">
        <v>20</v>
      </c>
      <c r="E321" s="14">
        <v>3500</v>
      </c>
      <c r="F321" s="14">
        <v>20250</v>
      </c>
      <c r="G321" s="14">
        <v>3500</v>
      </c>
      <c r="H321" s="33">
        <v>5.53</v>
      </c>
      <c r="I321" s="33">
        <v>6.3</v>
      </c>
      <c r="J321" s="55">
        <f t="array" ref="J32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44189</v>
      </c>
      <c r="K321" s="59">
        <f>IFERROR(Table13[[#This Row],[Bid Accepted]]*(Table13[[#This Row],[WAYR Current]]%/364*Table13[[#This Row],[Days To Maturity]]),0)</f>
        <v>96.775000000000006</v>
      </c>
      <c r="L321" s="41">
        <f>+Table13[[#This Row],[Bid Accepted]]-Table13[[#This Row],[Amount Offered]]</f>
        <v>0</v>
      </c>
      <c r="M321" s="57">
        <f>+IF(Table13[[#This Row],[WAYR Last]]&gt;0,IF(Table13[[#This Row],[WAYR Current]]&gt;0,(Table13[[#This Row],[WAYR Current]]-Table13[[#This Row],[WAYR Last]]),""),"")</f>
        <v>-0.76999999999999957</v>
      </c>
      <c r="N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13"/>
      <c r="AN321" s="78"/>
      <c r="AP321" s="77"/>
      <c r="AQ321" s="5"/>
      <c r="AR321" s="5"/>
      <c r="AU321" s="78"/>
      <c r="AV321" s="64"/>
      <c r="AX321" s="78"/>
      <c r="AY321" s="13"/>
    </row>
    <row r="322" spans="1:51" x14ac:dyDescent="0.2">
      <c r="A322" s="53">
        <v>44006</v>
      </c>
      <c r="B322" s="5"/>
      <c r="C322" s="5">
        <v>364</v>
      </c>
      <c r="D322" s="5" t="s">
        <v>20</v>
      </c>
      <c r="E322" s="14">
        <v>16000</v>
      </c>
      <c r="F322" s="14">
        <v>78031</v>
      </c>
      <c r="G322" s="14">
        <v>16000</v>
      </c>
      <c r="H322" s="33">
        <v>5.66</v>
      </c>
      <c r="I322" s="33">
        <v>6.62</v>
      </c>
      <c r="J322" s="55">
        <f t="array" ref="J32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44371</v>
      </c>
      <c r="K322" s="59">
        <f>IFERROR(Table13[[#This Row],[Bid Accepted]]*(Table13[[#This Row],[WAYR Current]]%/364*Table13[[#This Row],[Days To Maturity]]),0)</f>
        <v>905.60000000000014</v>
      </c>
      <c r="L322" s="41">
        <f>+Table13[[#This Row],[Bid Accepted]]-Table13[[#This Row],[Amount Offered]]</f>
        <v>0</v>
      </c>
      <c r="M322" s="57">
        <f>+IF(Table13[[#This Row],[WAYR Last]]&gt;0,IF(Table13[[#This Row],[WAYR Current]]&gt;0,(Table13[[#This Row],[WAYR Current]]-Table13[[#This Row],[WAYR Last]]),""),"")</f>
        <v>-0.96</v>
      </c>
      <c r="N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13"/>
      <c r="AN322" s="78"/>
      <c r="AP322" s="77"/>
      <c r="AQ322" s="5"/>
      <c r="AR322" s="5"/>
      <c r="AU322" s="78"/>
      <c r="AV322" s="64"/>
      <c r="AX322" s="78"/>
      <c r="AY322" s="13"/>
    </row>
    <row r="323" spans="1:51" x14ac:dyDescent="0.2">
      <c r="A323" s="53">
        <v>44013</v>
      </c>
      <c r="B323" s="5"/>
      <c r="C323" s="10">
        <v>91</v>
      </c>
      <c r="D323" s="5" t="s">
        <v>20</v>
      </c>
      <c r="E323" s="14">
        <v>2000</v>
      </c>
      <c r="F323" s="14">
        <v>21378</v>
      </c>
      <c r="G323" s="14">
        <v>1345</v>
      </c>
      <c r="H323" s="33">
        <v>5.08</v>
      </c>
      <c r="I323" s="33">
        <v>5.5</v>
      </c>
      <c r="J323" s="55">
        <f t="array" ref="J32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44105</v>
      </c>
      <c r="K323" s="59">
        <f>IFERROR(Table13[[#This Row],[Bid Accepted]]*(Table13[[#This Row],[WAYR Current]]%/364*Table13[[#This Row],[Days To Maturity]]),0)</f>
        <v>17.081499999999998</v>
      </c>
      <c r="L323" s="41">
        <f>+Table13[[#This Row],[Bid Accepted]]-Table13[[#This Row],[Amount Offered]]</f>
        <v>-655</v>
      </c>
      <c r="M323" s="57">
        <f>+IF(Table13[[#This Row],[WAYR Last]]&gt;0,IF(Table13[[#This Row],[WAYR Current]]&gt;0,(Table13[[#This Row],[WAYR Current]]-Table13[[#This Row],[WAYR Last]]),""),"")</f>
        <v>-0.41999999999999993</v>
      </c>
      <c r="N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13"/>
      <c r="AN323" s="78"/>
      <c r="AP323" s="77"/>
      <c r="AQ323" s="5"/>
      <c r="AR323" s="5"/>
      <c r="AU323" s="78"/>
      <c r="AV323" s="64"/>
      <c r="AX323" s="78"/>
      <c r="AY323" s="13"/>
    </row>
    <row r="324" spans="1:51" x14ac:dyDescent="0.2">
      <c r="A324" s="9">
        <v>44013</v>
      </c>
      <c r="B324" s="10"/>
      <c r="C324" s="10">
        <v>182</v>
      </c>
      <c r="D324" s="5" t="s">
        <v>20</v>
      </c>
      <c r="E324" s="14">
        <v>9000</v>
      </c>
      <c r="F324" s="18">
        <v>32597</v>
      </c>
      <c r="G324" s="18">
        <v>7097</v>
      </c>
      <c r="H324" s="37">
        <v>5.22</v>
      </c>
      <c r="I324" s="37">
        <v>5.53</v>
      </c>
      <c r="J324" s="12">
        <f t="array" ref="J32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44197</v>
      </c>
      <c r="K324" s="59">
        <f>IFERROR(Table13[[#This Row],[Bid Accepted]]*(Table13[[#This Row],[WAYR Current]]%/364*Table13[[#This Row],[Days To Maturity]]),0)</f>
        <v>185.23169999999999</v>
      </c>
      <c r="L324" s="41">
        <f>+Table13[[#This Row],[Bid Accepted]]-Table13[[#This Row],[Amount Offered]]</f>
        <v>-1903</v>
      </c>
      <c r="M324" s="57">
        <f>+IF(Table13[[#This Row],[WAYR Last]]&gt;0,IF(Table13[[#This Row],[WAYR Current]]&gt;0,(Table13[[#This Row],[WAYR Current]]-Table13[[#This Row],[WAYR Last]]),""),"")</f>
        <v>-0.3100000000000005</v>
      </c>
      <c r="N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13"/>
      <c r="AN324" s="78"/>
      <c r="AP324" s="77"/>
      <c r="AQ324" s="5"/>
      <c r="AR324" s="5"/>
      <c r="AU324" s="78"/>
      <c r="AV324" s="64"/>
      <c r="AX324" s="78"/>
      <c r="AY324" s="13"/>
    </row>
    <row r="325" spans="1:51" x14ac:dyDescent="0.2">
      <c r="A325" s="53">
        <v>44013</v>
      </c>
      <c r="B325" s="5"/>
      <c r="C325" s="5">
        <v>364</v>
      </c>
      <c r="D325" s="5" t="s">
        <v>20</v>
      </c>
      <c r="E325" s="14">
        <v>18000</v>
      </c>
      <c r="F325" s="14">
        <v>41443</v>
      </c>
      <c r="G325" s="14">
        <v>20558</v>
      </c>
      <c r="H325" s="33">
        <v>5.45</v>
      </c>
      <c r="I325" s="33">
        <v>5.66</v>
      </c>
      <c r="J325" s="55">
        <f t="array" ref="J32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44378</v>
      </c>
      <c r="K325" s="59">
        <f>IFERROR(Table13[[#This Row],[Bid Accepted]]*(Table13[[#This Row],[WAYR Current]]%/364*Table13[[#This Row],[Days To Maturity]]),0)</f>
        <v>1120.4110000000001</v>
      </c>
      <c r="L325" s="41">
        <f>+Table13[[#This Row],[Bid Accepted]]-Table13[[#This Row],[Amount Offered]]</f>
        <v>2558</v>
      </c>
      <c r="M325" s="57">
        <f>+IF(Table13[[#This Row],[WAYR Last]]&gt;0,IF(Table13[[#This Row],[WAYR Current]]&gt;0,(Table13[[#This Row],[WAYR Current]]-Table13[[#This Row],[WAYR Last]]),""),"")</f>
        <v>-0.20999999999999996</v>
      </c>
      <c r="N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13"/>
      <c r="AN325" s="78"/>
      <c r="AP325" s="77"/>
      <c r="AQ325" s="5"/>
      <c r="AR325" s="5"/>
      <c r="AU325" s="78"/>
      <c r="AV325" s="64"/>
      <c r="AX325" s="78"/>
      <c r="AY325" s="13"/>
    </row>
    <row r="326" spans="1:51" x14ac:dyDescent="0.2">
      <c r="A326" s="53">
        <v>44020</v>
      </c>
      <c r="B326" s="10"/>
      <c r="C326" s="10">
        <v>91</v>
      </c>
      <c r="D326" s="5" t="s">
        <v>20</v>
      </c>
      <c r="E326" s="14">
        <v>4000</v>
      </c>
      <c r="F326" s="18">
        <v>6225</v>
      </c>
      <c r="G326" s="18">
        <v>3450</v>
      </c>
      <c r="H326" s="37">
        <v>5.08</v>
      </c>
      <c r="I326" s="37">
        <v>5.08</v>
      </c>
      <c r="J326" s="12">
        <f t="array" ref="J32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44112</v>
      </c>
      <c r="K326" s="59">
        <f>IFERROR(Table13[[#This Row],[Bid Accepted]]*(Table13[[#This Row],[WAYR Current]]%/364*Table13[[#This Row],[Days To Maturity]]),0)</f>
        <v>43.814999999999998</v>
      </c>
      <c r="L326" s="41">
        <f>+Table13[[#This Row],[Bid Accepted]]-Table13[[#This Row],[Amount Offered]]</f>
        <v>-550</v>
      </c>
      <c r="M326" s="57">
        <f>+IF(Table13[[#This Row],[WAYR Last]]&gt;0,IF(Table13[[#This Row],[WAYR Current]]&gt;0,(Table13[[#This Row],[WAYR Current]]-Table13[[#This Row],[WAYR Last]]),""),"")</f>
        <v>0</v>
      </c>
      <c r="N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13"/>
      <c r="AN326" s="78"/>
      <c r="AP326" s="77"/>
      <c r="AQ326" s="5"/>
      <c r="AR326" s="5"/>
      <c r="AU326" s="78"/>
      <c r="AV326" s="64"/>
      <c r="AX326" s="78"/>
      <c r="AY326" s="13"/>
    </row>
    <row r="327" spans="1:51" x14ac:dyDescent="0.2">
      <c r="A327" s="53">
        <v>44020</v>
      </c>
      <c r="B327" s="5"/>
      <c r="C327" s="10">
        <v>182</v>
      </c>
      <c r="D327" s="5" t="s">
        <v>20</v>
      </c>
      <c r="E327" s="14">
        <v>6000</v>
      </c>
      <c r="F327" s="14">
        <v>15550</v>
      </c>
      <c r="G327" s="14">
        <v>6550</v>
      </c>
      <c r="H327" s="33">
        <v>5.18</v>
      </c>
      <c r="I327" s="33">
        <v>5.22</v>
      </c>
      <c r="J327" s="55">
        <f t="array" ref="J32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44204</v>
      </c>
      <c r="K327" s="59">
        <f>IFERROR(Table13[[#This Row],[Bid Accepted]]*(Table13[[#This Row],[WAYR Current]]%/364*Table13[[#This Row],[Days To Maturity]]),0)</f>
        <v>169.64500000000001</v>
      </c>
      <c r="L327" s="41">
        <f>+Table13[[#This Row],[Bid Accepted]]-Table13[[#This Row],[Amount Offered]]</f>
        <v>550</v>
      </c>
      <c r="M327" s="57">
        <f>+IF(Table13[[#This Row],[WAYR Last]]&gt;0,IF(Table13[[#This Row],[WAYR Current]]&gt;0,(Table13[[#This Row],[WAYR Current]]-Table13[[#This Row],[WAYR Last]]),""),"")</f>
        <v>-4.0000000000000036E-2</v>
      </c>
      <c r="N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13"/>
      <c r="AN327" s="78"/>
      <c r="AP327" s="77"/>
      <c r="AQ327" s="5"/>
      <c r="AR327" s="5"/>
      <c r="AU327" s="78"/>
      <c r="AV327" s="64"/>
      <c r="AX327" s="78"/>
      <c r="AY327" s="13"/>
    </row>
    <row r="328" spans="1:51" x14ac:dyDescent="0.2">
      <c r="A328" s="53">
        <v>44020</v>
      </c>
      <c r="B328" s="5"/>
      <c r="C328" s="5">
        <v>364</v>
      </c>
      <c r="D328" s="5" t="s">
        <v>20</v>
      </c>
      <c r="E328" s="14">
        <v>18500</v>
      </c>
      <c r="F328" s="14">
        <v>39250</v>
      </c>
      <c r="G328" s="14">
        <v>18500</v>
      </c>
      <c r="H328" s="33">
        <v>5.32</v>
      </c>
      <c r="I328" s="33">
        <v>5.45</v>
      </c>
      <c r="J328" s="55">
        <f t="array" ref="J32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44385</v>
      </c>
      <c r="K328" s="59">
        <f>IFERROR(Table13[[#This Row],[Bid Accepted]]*(Table13[[#This Row],[WAYR Current]]%/364*Table13[[#This Row],[Days To Maturity]]),0)</f>
        <v>984.20000000000016</v>
      </c>
      <c r="L328" s="41">
        <f>+Table13[[#This Row],[Bid Accepted]]-Table13[[#This Row],[Amount Offered]]</f>
        <v>0</v>
      </c>
      <c r="M328" s="57">
        <f>+IF(Table13[[#This Row],[WAYR Last]]&gt;0,IF(Table13[[#This Row],[WAYR Current]]&gt;0,(Table13[[#This Row],[WAYR Current]]-Table13[[#This Row],[WAYR Last]]),""),"")</f>
        <v>-0.12999999999999989</v>
      </c>
      <c r="N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13"/>
      <c r="AN328" s="78"/>
      <c r="AP328" s="77"/>
      <c r="AQ328" s="5"/>
      <c r="AR328" s="5"/>
      <c r="AU328" s="78"/>
      <c r="AV328" s="64"/>
      <c r="AX328" s="78"/>
      <c r="AY328" s="13"/>
    </row>
    <row r="329" spans="1:51" x14ac:dyDescent="0.2">
      <c r="A329" s="53">
        <v>44027</v>
      </c>
      <c r="B329" s="5"/>
      <c r="C329" s="10">
        <v>91</v>
      </c>
      <c r="D329" s="5" t="s">
        <v>20</v>
      </c>
      <c r="E329" s="14">
        <v>5000</v>
      </c>
      <c r="F329" s="14">
        <v>19950</v>
      </c>
      <c r="G329" s="14">
        <v>4000</v>
      </c>
      <c r="H329" s="33">
        <v>4.6500000000000004</v>
      </c>
      <c r="I329" s="33">
        <v>5.08</v>
      </c>
      <c r="J329" s="55">
        <f t="array" ref="J32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44119</v>
      </c>
      <c r="K329" s="59">
        <f>IFERROR(Table13[[#This Row],[Bid Accepted]]*(Table13[[#This Row],[WAYR Current]]%/364*Table13[[#This Row],[Days To Maturity]]),0)</f>
        <v>46.5</v>
      </c>
      <c r="L329" s="41">
        <f>+Table13[[#This Row],[Bid Accepted]]-Table13[[#This Row],[Amount Offered]]</f>
        <v>-1000</v>
      </c>
      <c r="M329" s="57">
        <f>+IF(Table13[[#This Row],[WAYR Last]]&gt;0,IF(Table13[[#This Row],[WAYR Current]]&gt;0,(Table13[[#This Row],[WAYR Current]]-Table13[[#This Row],[WAYR Last]]),""),"")</f>
        <v>-0.42999999999999972</v>
      </c>
      <c r="N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13"/>
      <c r="AN329" s="78"/>
      <c r="AP329" s="77"/>
      <c r="AQ329" s="5"/>
      <c r="AR329" s="5"/>
      <c r="AU329" s="78"/>
      <c r="AV329" s="64"/>
      <c r="AX329" s="78"/>
      <c r="AY329" s="13"/>
    </row>
    <row r="330" spans="1:51" x14ac:dyDescent="0.2">
      <c r="A330" s="53">
        <v>44027</v>
      </c>
      <c r="B330" s="5"/>
      <c r="C330" s="10">
        <v>182</v>
      </c>
      <c r="D330" s="5" t="s">
        <v>20</v>
      </c>
      <c r="E330" s="14">
        <v>5000</v>
      </c>
      <c r="F330" s="14">
        <v>28921</v>
      </c>
      <c r="G330" s="14">
        <v>4000</v>
      </c>
      <c r="H330" s="33">
        <v>4.75</v>
      </c>
      <c r="I330" s="33">
        <v>5.18</v>
      </c>
      <c r="J330" s="55">
        <f t="array" ref="J33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44211</v>
      </c>
      <c r="K330" s="59">
        <f>IFERROR(Table13[[#This Row],[Bid Accepted]]*(Table13[[#This Row],[WAYR Current]]%/364*Table13[[#This Row],[Days To Maturity]]),0)</f>
        <v>95.000000000000014</v>
      </c>
      <c r="L330" s="41">
        <f>+Table13[[#This Row],[Bid Accepted]]-Table13[[#This Row],[Amount Offered]]</f>
        <v>-1000</v>
      </c>
      <c r="M330" s="57">
        <f>+IF(Table13[[#This Row],[WAYR Last]]&gt;0,IF(Table13[[#This Row],[WAYR Current]]&gt;0,(Table13[[#This Row],[WAYR Current]]-Table13[[#This Row],[WAYR Last]]),""),"")</f>
        <v>-0.42999999999999972</v>
      </c>
      <c r="N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13"/>
      <c r="AN330" s="78"/>
      <c r="AP330" s="77"/>
      <c r="AQ330" s="5"/>
      <c r="AR330" s="5"/>
      <c r="AU330" s="78"/>
      <c r="AV330" s="64"/>
      <c r="AX330" s="78"/>
      <c r="AY330" s="13"/>
    </row>
    <row r="331" spans="1:51" x14ac:dyDescent="0.2">
      <c r="A331" s="53">
        <v>44027</v>
      </c>
      <c r="B331" s="5"/>
      <c r="C331" s="5">
        <v>364</v>
      </c>
      <c r="D331" s="5" t="s">
        <v>20</v>
      </c>
      <c r="E331" s="14">
        <v>19500</v>
      </c>
      <c r="F331" s="14">
        <v>69160</v>
      </c>
      <c r="G331" s="14">
        <v>21500</v>
      </c>
      <c r="H331" s="33">
        <v>4.91</v>
      </c>
      <c r="I331" s="33">
        <v>5.32</v>
      </c>
      <c r="J331" s="55">
        <f t="array" ref="J33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44392</v>
      </c>
      <c r="K331" s="59">
        <f>IFERROR(Table13[[#This Row],[Bid Accepted]]*(Table13[[#This Row],[WAYR Current]]%/364*Table13[[#This Row],[Days To Maturity]]),0)</f>
        <v>1055.6500000000001</v>
      </c>
      <c r="L331" s="41">
        <f>+Table13[[#This Row],[Bid Accepted]]-Table13[[#This Row],[Amount Offered]]</f>
        <v>2000</v>
      </c>
      <c r="M331" s="57">
        <f>+IF(Table13[[#This Row],[WAYR Last]]&gt;0,IF(Table13[[#This Row],[WAYR Current]]&gt;0,(Table13[[#This Row],[WAYR Current]]-Table13[[#This Row],[WAYR Last]]),""),"")</f>
        <v>-0.41000000000000014</v>
      </c>
      <c r="N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13"/>
      <c r="AN331" s="78"/>
      <c r="AP331" s="77"/>
      <c r="AQ331" s="5"/>
      <c r="AR331" s="5"/>
      <c r="AU331" s="78"/>
      <c r="AV331" s="64"/>
      <c r="AX331" s="78"/>
      <c r="AY331" s="13"/>
    </row>
    <row r="332" spans="1:51" x14ac:dyDescent="0.2">
      <c r="A332" s="53">
        <v>44034</v>
      </c>
      <c r="B332" s="5"/>
      <c r="C332" s="10">
        <v>91</v>
      </c>
      <c r="D332" s="5" t="s">
        <v>20</v>
      </c>
      <c r="E332" s="14">
        <v>4600</v>
      </c>
      <c r="F332" s="14">
        <v>13623</v>
      </c>
      <c r="G332" s="14">
        <v>6401</v>
      </c>
      <c r="H332" s="33">
        <v>4.5999999999999996</v>
      </c>
      <c r="I332" s="33">
        <v>4.6500000000000004</v>
      </c>
      <c r="J332" s="55">
        <f t="array" ref="J33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44126</v>
      </c>
      <c r="K332" s="59">
        <f>IFERROR(Table13[[#This Row],[Bid Accepted]]*(Table13[[#This Row],[WAYR Current]]%/364*Table13[[#This Row],[Days To Maturity]]),0)</f>
        <v>73.611499999999992</v>
      </c>
      <c r="L332" s="41">
        <f>+Table13[[#This Row],[Bid Accepted]]-Table13[[#This Row],[Amount Offered]]</f>
        <v>1801</v>
      </c>
      <c r="M332" s="57">
        <f>+IF(Table13[[#This Row],[WAYR Last]]&gt;0,IF(Table13[[#This Row],[WAYR Current]]&gt;0,(Table13[[#This Row],[WAYR Current]]-Table13[[#This Row],[WAYR Last]]),""),"")</f>
        <v>-5.0000000000000711E-2</v>
      </c>
      <c r="N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13"/>
      <c r="AN332" s="78"/>
      <c r="AP332" s="77"/>
      <c r="AQ332" s="5"/>
      <c r="AR332" s="5"/>
      <c r="AU332" s="78"/>
      <c r="AV332" s="64"/>
      <c r="AX332" s="78"/>
      <c r="AY332" s="13"/>
    </row>
    <row r="333" spans="1:51" x14ac:dyDescent="0.2">
      <c r="A333" s="53">
        <v>44034</v>
      </c>
      <c r="B333" s="5"/>
      <c r="C333" s="10">
        <v>182</v>
      </c>
      <c r="D333" s="5" t="s">
        <v>20</v>
      </c>
      <c r="E333" s="14">
        <v>6000</v>
      </c>
      <c r="F333" s="14">
        <v>18124</v>
      </c>
      <c r="G333" s="14">
        <v>11385</v>
      </c>
      <c r="H333" s="33">
        <v>4.6900000000000004</v>
      </c>
      <c r="I333" s="33">
        <v>4.75</v>
      </c>
      <c r="J333" s="55">
        <f t="array" ref="J33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44218</v>
      </c>
      <c r="K333" s="59">
        <f>IFERROR(Table13[[#This Row],[Bid Accepted]]*(Table13[[#This Row],[WAYR Current]]%/364*Table13[[#This Row],[Days To Maturity]]),0)</f>
        <v>266.97825000000006</v>
      </c>
      <c r="L333" s="41">
        <f>+Table13[[#This Row],[Bid Accepted]]-Table13[[#This Row],[Amount Offered]]</f>
        <v>5385</v>
      </c>
      <c r="M333" s="57">
        <f>+IF(Table13[[#This Row],[WAYR Last]]&gt;0,IF(Table13[[#This Row],[WAYR Current]]&gt;0,(Table13[[#This Row],[WAYR Current]]-Table13[[#This Row],[WAYR Last]]),""),"")</f>
        <v>-5.9999999999999609E-2</v>
      </c>
      <c r="N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13"/>
      <c r="AN333" s="78"/>
      <c r="AP333" s="77"/>
      <c r="AQ333" s="5"/>
      <c r="AR333" s="5"/>
      <c r="AU333" s="78"/>
      <c r="AV333" s="64"/>
      <c r="AX333" s="78"/>
      <c r="AY333" s="13"/>
    </row>
    <row r="334" spans="1:51" x14ac:dyDescent="0.2">
      <c r="A334" s="53">
        <v>44034</v>
      </c>
      <c r="B334" s="5"/>
      <c r="C334" s="5">
        <v>364</v>
      </c>
      <c r="D334" s="5" t="s">
        <v>20</v>
      </c>
      <c r="E334" s="14">
        <v>24500</v>
      </c>
      <c r="F334" s="14">
        <v>32514</v>
      </c>
      <c r="G334" s="14">
        <v>17314</v>
      </c>
      <c r="H334" s="33">
        <v>4.8600000000000003</v>
      </c>
      <c r="I334" s="33">
        <v>4.91</v>
      </c>
      <c r="J334" s="55">
        <f t="array" ref="J33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44399</v>
      </c>
      <c r="K334" s="59">
        <f>IFERROR(Table13[[#This Row],[Bid Accepted]]*(Table13[[#This Row],[WAYR Current]]%/364*Table13[[#This Row],[Days To Maturity]]),0)</f>
        <v>841.46040000000005</v>
      </c>
      <c r="L334" s="41">
        <f>+Table13[[#This Row],[Bid Accepted]]-Table13[[#This Row],[Amount Offered]]</f>
        <v>-7186</v>
      </c>
      <c r="M334" s="57">
        <f>+IF(Table13[[#This Row],[WAYR Last]]&gt;0,IF(Table13[[#This Row],[WAYR Current]]&gt;0,(Table13[[#This Row],[WAYR Current]]-Table13[[#This Row],[WAYR Last]]),""),"")</f>
        <v>-4.9999999999999822E-2</v>
      </c>
      <c r="N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13"/>
      <c r="AN334" s="78"/>
      <c r="AP334" s="77"/>
      <c r="AQ334" s="5"/>
      <c r="AR334" s="5"/>
      <c r="AU334" s="78"/>
      <c r="AV334" s="64"/>
      <c r="AX334" s="78"/>
      <c r="AY334" s="13"/>
    </row>
    <row r="335" spans="1:51" x14ac:dyDescent="0.2">
      <c r="A335" s="53">
        <v>44041</v>
      </c>
      <c r="B335" s="5"/>
      <c r="C335" s="10">
        <v>91</v>
      </c>
      <c r="D335" s="5" t="s">
        <v>20</v>
      </c>
      <c r="E335" s="14">
        <v>9000</v>
      </c>
      <c r="F335" s="14">
        <v>12275</v>
      </c>
      <c r="G335" s="14">
        <v>5875</v>
      </c>
      <c r="H335" s="33">
        <v>4.59</v>
      </c>
      <c r="I335" s="33">
        <v>4.5999999999999996</v>
      </c>
      <c r="J335" s="55">
        <f t="array" ref="J33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44133</v>
      </c>
      <c r="K335" s="59">
        <f>IFERROR(Table13[[#This Row],[Bid Accepted]]*(Table13[[#This Row],[WAYR Current]]%/364*Table13[[#This Row],[Days To Maturity]]),0)</f>
        <v>67.415624999999991</v>
      </c>
      <c r="L335" s="41">
        <f>+Table13[[#This Row],[Bid Accepted]]-Table13[[#This Row],[Amount Offered]]</f>
        <v>-3125</v>
      </c>
      <c r="M335" s="57">
        <f>+IF(Table13[[#This Row],[WAYR Last]]&gt;0,IF(Table13[[#This Row],[WAYR Current]]&gt;0,(Table13[[#This Row],[WAYR Current]]-Table13[[#This Row],[WAYR Last]]),""),"")</f>
        <v>-9.9999999999997868E-3</v>
      </c>
      <c r="N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13"/>
      <c r="AN335" s="78"/>
      <c r="AP335" s="77"/>
      <c r="AQ335" s="5"/>
      <c r="AR335" s="5"/>
      <c r="AU335" s="78"/>
      <c r="AV335" s="64"/>
      <c r="AX335" s="78"/>
      <c r="AY335" s="13"/>
    </row>
    <row r="336" spans="1:51" x14ac:dyDescent="0.2">
      <c r="A336" s="53">
        <v>44041</v>
      </c>
      <c r="B336" s="5"/>
      <c r="C336" s="10">
        <v>182</v>
      </c>
      <c r="D336" s="5" t="s">
        <v>20</v>
      </c>
      <c r="E336" s="14">
        <v>6000</v>
      </c>
      <c r="F336" s="14">
        <v>6679</v>
      </c>
      <c r="G336" s="14">
        <v>2179</v>
      </c>
      <c r="H336" s="33">
        <v>4.68</v>
      </c>
      <c r="I336" s="33">
        <v>4.6900000000000004</v>
      </c>
      <c r="J336" s="55">
        <f t="array" ref="J33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44225</v>
      </c>
      <c r="K336" s="59">
        <f>IFERROR(Table13[[#This Row],[Bid Accepted]]*(Table13[[#This Row],[WAYR Current]]%/364*Table13[[#This Row],[Days To Maturity]]),0)</f>
        <v>50.988599999999991</v>
      </c>
      <c r="L336" s="41">
        <f>+Table13[[#This Row],[Bid Accepted]]-Table13[[#This Row],[Amount Offered]]</f>
        <v>-3821</v>
      </c>
      <c r="M336" s="57">
        <f>+IF(Table13[[#This Row],[WAYR Last]]&gt;0,IF(Table13[[#This Row],[WAYR Current]]&gt;0,(Table13[[#This Row],[WAYR Current]]-Table13[[#This Row],[WAYR Last]]),""),"")</f>
        <v>-1.0000000000000675E-2</v>
      </c>
      <c r="N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13"/>
      <c r="AN336" s="78"/>
      <c r="AP336" s="77"/>
      <c r="AQ336" s="5"/>
      <c r="AR336" s="5"/>
      <c r="AU336" s="78"/>
      <c r="AV336" s="64"/>
      <c r="AX336" s="78"/>
      <c r="AY336" s="13"/>
    </row>
    <row r="337" spans="1:51" x14ac:dyDescent="0.2">
      <c r="A337" s="53">
        <v>44041</v>
      </c>
      <c r="B337" s="5"/>
      <c r="C337" s="5">
        <v>364</v>
      </c>
      <c r="D337" s="5" t="s">
        <v>20</v>
      </c>
      <c r="E337" s="14">
        <v>24500</v>
      </c>
      <c r="F337" s="14">
        <v>28009</v>
      </c>
      <c r="G337" s="14">
        <v>3909</v>
      </c>
      <c r="H337" s="33">
        <v>4.8600000000000003</v>
      </c>
      <c r="I337" s="33">
        <v>4.8600000000000003</v>
      </c>
      <c r="J337" s="55">
        <f t="array" ref="J33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44406</v>
      </c>
      <c r="K337" s="59">
        <f>IFERROR(Table13[[#This Row],[Bid Accepted]]*(Table13[[#This Row],[WAYR Current]]%/364*Table13[[#This Row],[Days To Maturity]]),0)</f>
        <v>189.97740000000002</v>
      </c>
      <c r="L337" s="41">
        <f>+Table13[[#This Row],[Bid Accepted]]-Table13[[#This Row],[Amount Offered]]</f>
        <v>-20591</v>
      </c>
      <c r="M337" s="57">
        <f>+IF(Table13[[#This Row],[WAYR Last]]&gt;0,IF(Table13[[#This Row],[WAYR Current]]&gt;0,(Table13[[#This Row],[WAYR Current]]-Table13[[#This Row],[WAYR Last]]),""),"")</f>
        <v>0</v>
      </c>
      <c r="N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13"/>
      <c r="AN337" s="78"/>
      <c r="AP337" s="77"/>
      <c r="AQ337" s="5"/>
      <c r="AR337" s="5"/>
      <c r="AU337" s="78"/>
      <c r="AV337" s="64"/>
      <c r="AX337" s="78"/>
      <c r="AY337" s="13"/>
    </row>
    <row r="338" spans="1:51" x14ac:dyDescent="0.2">
      <c r="A338" s="53">
        <v>44048</v>
      </c>
      <c r="B338" s="5"/>
      <c r="C338" s="10">
        <v>91</v>
      </c>
      <c r="D338" s="5" t="s">
        <v>20</v>
      </c>
      <c r="E338" s="14">
        <v>6000</v>
      </c>
      <c r="F338" s="14">
        <v>19100</v>
      </c>
      <c r="G338" s="14">
        <v>9150</v>
      </c>
      <c r="H338" s="33">
        <v>4.67</v>
      </c>
      <c r="I338" s="33">
        <v>4.59</v>
      </c>
      <c r="J338" s="55">
        <f t="array" ref="J33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44140</v>
      </c>
      <c r="K338" s="59">
        <f>IFERROR(Table13[[#This Row],[Bid Accepted]]*(Table13[[#This Row],[WAYR Current]]%/364*Table13[[#This Row],[Days To Maturity]]),0)</f>
        <v>106.82625</v>
      </c>
      <c r="L338" s="41">
        <f>+Table13[[#This Row],[Bid Accepted]]-Table13[[#This Row],[Amount Offered]]</f>
        <v>3150</v>
      </c>
      <c r="M338" s="57">
        <f>+IF(Table13[[#This Row],[WAYR Last]]&gt;0,IF(Table13[[#This Row],[WAYR Current]]&gt;0,(Table13[[#This Row],[WAYR Current]]-Table13[[#This Row],[WAYR Last]]),""),"")</f>
        <v>8.0000000000000071E-2</v>
      </c>
      <c r="N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13"/>
      <c r="AN338" s="78"/>
      <c r="AP338" s="77"/>
      <c r="AQ338" s="5"/>
      <c r="AR338" s="5"/>
      <c r="AU338" s="78"/>
      <c r="AV338" s="64"/>
      <c r="AX338" s="78"/>
      <c r="AY338" s="13"/>
    </row>
    <row r="339" spans="1:51" x14ac:dyDescent="0.2">
      <c r="A339" s="53">
        <v>44048</v>
      </c>
      <c r="B339" s="5"/>
      <c r="C339" s="10">
        <v>182</v>
      </c>
      <c r="D339" s="5" t="s">
        <v>20</v>
      </c>
      <c r="E339" s="14">
        <v>11500</v>
      </c>
      <c r="F339" s="14">
        <v>17410</v>
      </c>
      <c r="G339" s="14">
        <v>8160</v>
      </c>
      <c r="H339" s="33">
        <v>4.76</v>
      </c>
      <c r="I339" s="33">
        <v>4.68</v>
      </c>
      <c r="J339" s="55">
        <f t="array" ref="J33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44232</v>
      </c>
      <c r="K339" s="59">
        <f>IFERROR(Table13[[#This Row],[Bid Accepted]]*(Table13[[#This Row],[WAYR Current]]%/364*Table13[[#This Row],[Days To Maturity]]),0)</f>
        <v>194.20800000000003</v>
      </c>
      <c r="L339" s="41">
        <f>+Table13[[#This Row],[Bid Accepted]]-Table13[[#This Row],[Amount Offered]]</f>
        <v>-3340</v>
      </c>
      <c r="M339" s="57">
        <f>+IF(Table13[[#This Row],[WAYR Last]]&gt;0,IF(Table13[[#This Row],[WAYR Current]]&gt;0,(Table13[[#This Row],[WAYR Current]]-Table13[[#This Row],[WAYR Last]]),""),"")</f>
        <v>8.0000000000000071E-2</v>
      </c>
      <c r="N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13"/>
      <c r="AN339" s="78"/>
      <c r="AP339" s="77"/>
      <c r="AQ339" s="5"/>
      <c r="AR339" s="5"/>
      <c r="AU339" s="78"/>
      <c r="AV339" s="64"/>
      <c r="AX339" s="78"/>
      <c r="AY339" s="13"/>
    </row>
    <row r="340" spans="1:51" x14ac:dyDescent="0.2">
      <c r="A340" s="53">
        <v>44048</v>
      </c>
      <c r="B340" s="5"/>
      <c r="C340" s="5">
        <v>364</v>
      </c>
      <c r="D340" s="5" t="s">
        <v>20</v>
      </c>
      <c r="E340" s="14">
        <v>18000</v>
      </c>
      <c r="F340" s="14">
        <v>23000</v>
      </c>
      <c r="G340" s="14">
        <v>7400</v>
      </c>
      <c r="H340" s="33">
        <v>4.9400000000000004</v>
      </c>
      <c r="I340" s="33">
        <v>4.8600000000000003</v>
      </c>
      <c r="J340" s="55">
        <f t="array" ref="J34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44413</v>
      </c>
      <c r="K340" s="59">
        <f>IFERROR(Table13[[#This Row],[Bid Accepted]]*(Table13[[#This Row],[WAYR Current]]%/364*Table13[[#This Row],[Days To Maturity]]),0)</f>
        <v>365.56</v>
      </c>
      <c r="L340" s="41">
        <f>+Table13[[#This Row],[Bid Accepted]]-Table13[[#This Row],[Amount Offered]]</f>
        <v>-10600</v>
      </c>
      <c r="M340" s="57">
        <f>+IF(Table13[[#This Row],[WAYR Last]]&gt;0,IF(Table13[[#This Row],[WAYR Current]]&gt;0,(Table13[[#This Row],[WAYR Current]]-Table13[[#This Row],[WAYR Last]]),""),"")</f>
        <v>8.0000000000000071E-2</v>
      </c>
      <c r="N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13"/>
      <c r="AN340" s="78"/>
      <c r="AP340" s="77"/>
      <c r="AQ340" s="5"/>
      <c r="AR340" s="5"/>
      <c r="AU340" s="78"/>
      <c r="AV340" s="64"/>
      <c r="AX340" s="78"/>
      <c r="AY340" s="13"/>
    </row>
    <row r="341" spans="1:51" x14ac:dyDescent="0.2">
      <c r="A341" s="53">
        <v>44055</v>
      </c>
      <c r="B341" s="10"/>
      <c r="C341" s="10">
        <v>91</v>
      </c>
      <c r="D341" s="5" t="s">
        <v>20</v>
      </c>
      <c r="E341" s="14">
        <v>8000</v>
      </c>
      <c r="F341" s="18">
        <v>17473</v>
      </c>
      <c r="G341" s="18">
        <v>11191</v>
      </c>
      <c r="H341" s="37">
        <v>4.6500000000000004</v>
      </c>
      <c r="I341" s="37">
        <v>4.67</v>
      </c>
      <c r="J341" s="12">
        <f t="array" ref="J34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44147</v>
      </c>
      <c r="K341" s="59">
        <f>IFERROR(Table13[[#This Row],[Bid Accepted]]*(Table13[[#This Row],[WAYR Current]]%/364*Table13[[#This Row],[Days To Maturity]]),0)</f>
        <v>130.09537499999999</v>
      </c>
      <c r="L341" s="41">
        <f>+Table13[[#This Row],[Bid Accepted]]-Table13[[#This Row],[Amount Offered]]</f>
        <v>3191</v>
      </c>
      <c r="M341" s="57">
        <f>+IF(Table13[[#This Row],[WAYR Last]]&gt;0,IF(Table13[[#This Row],[WAYR Current]]&gt;0,(Table13[[#This Row],[WAYR Current]]-Table13[[#This Row],[WAYR Last]]),""),"")</f>
        <v>-1.9999999999999574E-2</v>
      </c>
      <c r="N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13"/>
      <c r="AN341" s="78"/>
      <c r="AP341" s="77"/>
      <c r="AQ341" s="5"/>
      <c r="AR341" s="5"/>
      <c r="AU341" s="78"/>
      <c r="AV341" s="64"/>
      <c r="AX341" s="78"/>
      <c r="AY341" s="13"/>
    </row>
    <row r="342" spans="1:51" x14ac:dyDescent="0.2">
      <c r="A342" s="53">
        <v>44055</v>
      </c>
      <c r="B342" s="5"/>
      <c r="C342" s="10">
        <v>182</v>
      </c>
      <c r="D342" s="5" t="s">
        <v>20</v>
      </c>
      <c r="E342" s="14">
        <v>12500</v>
      </c>
      <c r="F342" s="14">
        <v>27504</v>
      </c>
      <c r="G342" s="14">
        <v>19204</v>
      </c>
      <c r="H342" s="33">
        <v>4.76</v>
      </c>
      <c r="I342" s="33">
        <v>4.76</v>
      </c>
      <c r="J342" s="55">
        <f t="array" ref="J34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44239</v>
      </c>
      <c r="K342" s="59">
        <f>IFERROR(Table13[[#This Row],[Bid Accepted]]*(Table13[[#This Row],[WAYR Current]]%/364*Table13[[#This Row],[Days To Maturity]]),0)</f>
        <v>457.05520000000001</v>
      </c>
      <c r="L342" s="41">
        <f>+Table13[[#This Row],[Bid Accepted]]-Table13[[#This Row],[Amount Offered]]</f>
        <v>6704</v>
      </c>
      <c r="M342" s="57">
        <f>+IF(Table13[[#This Row],[WAYR Last]]&gt;0,IF(Table13[[#This Row],[WAYR Current]]&gt;0,(Table13[[#This Row],[WAYR Current]]-Table13[[#This Row],[WAYR Last]]),""),"")</f>
        <v>0</v>
      </c>
      <c r="N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13"/>
      <c r="AN342" s="78"/>
      <c r="AP342" s="77"/>
      <c r="AQ342" s="5"/>
      <c r="AR342" s="5"/>
      <c r="AU342" s="78"/>
      <c r="AV342" s="64"/>
      <c r="AX342" s="78"/>
      <c r="AY342" s="13"/>
    </row>
    <row r="343" spans="1:51" x14ac:dyDescent="0.2">
      <c r="A343" s="53">
        <v>44055</v>
      </c>
      <c r="B343" s="5"/>
      <c r="C343" s="5">
        <v>364</v>
      </c>
      <c r="D343" s="5" t="s">
        <v>20</v>
      </c>
      <c r="E343" s="14">
        <v>16000</v>
      </c>
      <c r="F343" s="14">
        <v>20505</v>
      </c>
      <c r="G343" s="14">
        <v>6105</v>
      </c>
      <c r="H343" s="33">
        <v>4.93</v>
      </c>
      <c r="I343" s="33">
        <v>4.9400000000000004</v>
      </c>
      <c r="J343" s="55">
        <f t="array" ref="J34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44420</v>
      </c>
      <c r="K343" s="59">
        <f>IFERROR(Table13[[#This Row],[Bid Accepted]]*(Table13[[#This Row],[WAYR Current]]%/364*Table13[[#This Row],[Days To Maturity]]),0)</f>
        <v>300.97649999999999</v>
      </c>
      <c r="L343" s="41">
        <f>+Table13[[#This Row],[Bid Accepted]]-Table13[[#This Row],[Amount Offered]]</f>
        <v>-9895</v>
      </c>
      <c r="M343" s="57">
        <f>+IF(Table13[[#This Row],[WAYR Last]]&gt;0,IF(Table13[[#This Row],[WAYR Current]]&gt;0,(Table13[[#This Row],[WAYR Current]]-Table13[[#This Row],[WAYR Last]]),""),"")</f>
        <v>-1.0000000000000675E-2</v>
      </c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13"/>
      <c r="AN343" s="78"/>
      <c r="AP343" s="77"/>
      <c r="AQ343" s="5"/>
      <c r="AR343" s="5"/>
      <c r="AU343" s="78"/>
      <c r="AV343" s="64"/>
      <c r="AX343" s="78"/>
      <c r="AY343" s="13"/>
    </row>
    <row r="344" spans="1:51" x14ac:dyDescent="0.2">
      <c r="A344" s="53">
        <v>44062</v>
      </c>
      <c r="B344" s="5"/>
      <c r="C344" s="10">
        <v>91</v>
      </c>
      <c r="D344" s="5" t="s">
        <v>20</v>
      </c>
      <c r="E344" s="14">
        <v>5000</v>
      </c>
      <c r="F344" s="14">
        <v>14425</v>
      </c>
      <c r="G344" s="14">
        <v>2600</v>
      </c>
      <c r="H344" s="33">
        <v>4.59</v>
      </c>
      <c r="I344" s="33">
        <v>4.6500000000000004</v>
      </c>
      <c r="J344" s="55">
        <f t="array" ref="J34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44154</v>
      </c>
      <c r="K344" s="59">
        <f>IFERROR(Table13[[#This Row],[Bid Accepted]]*(Table13[[#This Row],[WAYR Current]]%/364*Table13[[#This Row],[Days To Maturity]]),0)</f>
        <v>29.834999999999997</v>
      </c>
      <c r="L344" s="41">
        <f>+Table13[[#This Row],[Bid Accepted]]-Table13[[#This Row],[Amount Offered]]</f>
        <v>-2400</v>
      </c>
      <c r="M344" s="57">
        <f>+IF(Table13[[#This Row],[WAYR Last]]&gt;0,IF(Table13[[#This Row],[WAYR Current]]&gt;0,(Table13[[#This Row],[WAYR Current]]-Table13[[#This Row],[WAYR Last]]),""),"")</f>
        <v>-6.0000000000000497E-2</v>
      </c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13"/>
      <c r="AN344" s="78"/>
      <c r="AP344" s="77"/>
      <c r="AQ344" s="5"/>
      <c r="AR344" s="5"/>
      <c r="AU344" s="78"/>
      <c r="AV344" s="64"/>
      <c r="AX344" s="78"/>
      <c r="AY344" s="13"/>
    </row>
    <row r="345" spans="1:51" x14ac:dyDescent="0.2">
      <c r="A345" s="53">
        <v>44062</v>
      </c>
      <c r="B345" s="5"/>
      <c r="C345" s="10">
        <v>182</v>
      </c>
      <c r="D345" s="5" t="s">
        <v>20</v>
      </c>
      <c r="E345" s="14">
        <v>15000</v>
      </c>
      <c r="F345" s="14">
        <v>61502</v>
      </c>
      <c r="G345" s="14">
        <v>15400</v>
      </c>
      <c r="H345" s="33">
        <v>4.71</v>
      </c>
      <c r="I345" s="33">
        <v>4.76</v>
      </c>
      <c r="J345" s="55">
        <f t="array" ref="J34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44246</v>
      </c>
      <c r="K345" s="59">
        <f>IFERROR(Table13[[#This Row],[Bid Accepted]]*(Table13[[#This Row],[WAYR Current]]%/364*Table13[[#This Row],[Days To Maturity]]),0)</f>
        <v>362.67</v>
      </c>
      <c r="L345" s="41">
        <f>+Table13[[#This Row],[Bid Accepted]]-Table13[[#This Row],[Amount Offered]]</f>
        <v>400</v>
      </c>
      <c r="M345" s="57">
        <f>+IF(Table13[[#This Row],[WAYR Last]]&gt;0,IF(Table13[[#This Row],[WAYR Current]]&gt;0,(Table13[[#This Row],[WAYR Current]]-Table13[[#This Row],[WAYR Last]]),""),"")</f>
        <v>-4.9999999999999822E-2</v>
      </c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13"/>
      <c r="AN345" s="78"/>
      <c r="AP345" s="77"/>
      <c r="AQ345" s="5"/>
      <c r="AR345" s="5"/>
      <c r="AU345" s="78"/>
      <c r="AV345" s="64"/>
      <c r="AX345" s="78"/>
      <c r="AY345" s="13"/>
    </row>
    <row r="346" spans="1:51" x14ac:dyDescent="0.2">
      <c r="A346" s="53">
        <v>44062</v>
      </c>
      <c r="B346" s="5"/>
      <c r="C346" s="5">
        <v>364</v>
      </c>
      <c r="D346" s="5" t="s">
        <v>20</v>
      </c>
      <c r="E346" s="14">
        <v>20000</v>
      </c>
      <c r="F346" s="14">
        <v>41350</v>
      </c>
      <c r="G346" s="14">
        <v>22000</v>
      </c>
      <c r="H346" s="33">
        <v>4.9000000000000004</v>
      </c>
      <c r="I346" s="33">
        <v>4.93</v>
      </c>
      <c r="J346" s="55">
        <f t="array" ref="J34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44427</v>
      </c>
      <c r="K346" s="59">
        <f>IFERROR(Table13[[#This Row],[Bid Accepted]]*(Table13[[#This Row],[WAYR Current]]%/364*Table13[[#This Row],[Days To Maturity]]),0)</f>
        <v>1078</v>
      </c>
      <c r="L346" s="41">
        <f>+Table13[[#This Row],[Bid Accepted]]-Table13[[#This Row],[Amount Offered]]</f>
        <v>2000</v>
      </c>
      <c r="M346" s="57">
        <f>+IF(Table13[[#This Row],[WAYR Last]]&gt;0,IF(Table13[[#This Row],[WAYR Current]]&gt;0,(Table13[[#This Row],[WAYR Current]]-Table13[[#This Row],[WAYR Last]]),""),"")</f>
        <v>-2.9999999999999361E-2</v>
      </c>
      <c r="AG346" s="78"/>
      <c r="AH346" s="13"/>
      <c r="AN346" s="78"/>
      <c r="AP346" s="77"/>
      <c r="AU346" s="78"/>
      <c r="AV346" s="64"/>
      <c r="AX346" s="78"/>
      <c r="AY346" s="13"/>
    </row>
    <row r="347" spans="1:51" x14ac:dyDescent="0.2">
      <c r="A347" s="53">
        <v>44069</v>
      </c>
      <c r="B347" s="5"/>
      <c r="C347" s="10">
        <v>91</v>
      </c>
      <c r="D347" s="5" t="s">
        <v>20</v>
      </c>
      <c r="E347" s="14">
        <v>5000</v>
      </c>
      <c r="F347" s="14">
        <v>12629</v>
      </c>
      <c r="G347" s="14">
        <v>8105</v>
      </c>
      <c r="H347" s="33">
        <v>4.5599999999999996</v>
      </c>
      <c r="I347" s="33">
        <v>4.59</v>
      </c>
      <c r="J347" s="55">
        <f t="array" ref="J34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44161</v>
      </c>
      <c r="K347" s="59">
        <f>IFERROR(Table13[[#This Row],[Bid Accepted]]*(Table13[[#This Row],[WAYR Current]]%/364*Table13[[#This Row],[Days To Maturity]]),0)</f>
        <v>92.396999999999991</v>
      </c>
      <c r="L347" s="41">
        <f>+Table13[[#This Row],[Bid Accepted]]-Table13[[#This Row],[Amount Offered]]</f>
        <v>3105</v>
      </c>
      <c r="M347" s="57">
        <f>+IF(Table13[[#This Row],[WAYR Last]]&gt;0,IF(Table13[[#This Row],[WAYR Current]]&gt;0,(Table13[[#This Row],[WAYR Current]]-Table13[[#This Row],[WAYR Last]]),""),"")</f>
        <v>-3.0000000000000249E-2</v>
      </c>
      <c r="AG347" s="78"/>
      <c r="AH347" s="13"/>
      <c r="AN347" s="78"/>
      <c r="AP347" s="77"/>
      <c r="AU347" s="78"/>
      <c r="AV347" s="64"/>
      <c r="AX347" s="78"/>
      <c r="AY347" s="13"/>
    </row>
    <row r="348" spans="1:51" x14ac:dyDescent="0.2">
      <c r="A348" s="53">
        <v>44069</v>
      </c>
      <c r="B348" s="10"/>
      <c r="C348" s="10">
        <v>182</v>
      </c>
      <c r="D348" s="5" t="s">
        <v>20</v>
      </c>
      <c r="E348" s="14">
        <v>15000</v>
      </c>
      <c r="F348" s="18">
        <v>39976</v>
      </c>
      <c r="G348" s="18">
        <v>20895</v>
      </c>
      <c r="H348" s="37">
        <v>4.68</v>
      </c>
      <c r="I348" s="37">
        <v>4.71</v>
      </c>
      <c r="J348" s="12">
        <f t="array" ref="J34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44253</v>
      </c>
      <c r="K348" s="59">
        <f>IFERROR(Table13[[#This Row],[Bid Accepted]]*(Table13[[#This Row],[WAYR Current]]%/364*Table13[[#This Row],[Days To Maturity]]),0)</f>
        <v>488.94299999999993</v>
      </c>
      <c r="L348" s="41">
        <f>+Table13[[#This Row],[Bid Accepted]]-Table13[[#This Row],[Amount Offered]]</f>
        <v>5895</v>
      </c>
      <c r="M348" s="57">
        <f>+IF(Table13[[#This Row],[WAYR Last]]&gt;0,IF(Table13[[#This Row],[WAYR Current]]&gt;0,(Table13[[#This Row],[WAYR Current]]-Table13[[#This Row],[WAYR Last]]),""),"")</f>
        <v>-3.0000000000000249E-2</v>
      </c>
      <c r="AG348" s="78"/>
      <c r="AH348" s="13"/>
      <c r="AN348" s="78"/>
      <c r="AP348" s="77"/>
      <c r="AU348" s="78"/>
      <c r="AV348" s="64"/>
      <c r="AX348" s="78"/>
      <c r="AY348" s="13"/>
    </row>
    <row r="349" spans="1:51" x14ac:dyDescent="0.2">
      <c r="A349" s="53">
        <v>44069</v>
      </c>
      <c r="B349" s="5"/>
      <c r="C349" s="5">
        <v>364</v>
      </c>
      <c r="D349" s="5" t="s">
        <v>20</v>
      </c>
      <c r="E349" s="14">
        <v>20000</v>
      </c>
      <c r="F349" s="14">
        <v>24000</v>
      </c>
      <c r="G349" s="14">
        <v>11000</v>
      </c>
      <c r="H349" s="33">
        <v>4.8899999999999997</v>
      </c>
      <c r="I349" s="33">
        <v>4.9000000000000004</v>
      </c>
      <c r="J349" s="55">
        <f t="array" ref="J34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44434</v>
      </c>
      <c r="K349" s="59">
        <f>IFERROR(Table13[[#This Row],[Bid Accepted]]*(Table13[[#This Row],[WAYR Current]]%/364*Table13[[#This Row],[Days To Maturity]]),0)</f>
        <v>537.9</v>
      </c>
      <c r="L349" s="41">
        <f>+Table13[[#This Row],[Bid Accepted]]-Table13[[#This Row],[Amount Offered]]</f>
        <v>-9000</v>
      </c>
      <c r="M349" s="57">
        <f>+IF(Table13[[#This Row],[WAYR Last]]&gt;0,IF(Table13[[#This Row],[WAYR Current]]&gt;0,(Table13[[#This Row],[WAYR Current]]-Table13[[#This Row],[WAYR Last]]),""),"")</f>
        <v>-1.0000000000000675E-2</v>
      </c>
      <c r="AG349" s="78"/>
      <c r="AH349" s="13"/>
      <c r="AN349" s="78"/>
      <c r="AP349" s="77"/>
      <c r="AU349" s="78"/>
      <c r="AV349" s="64"/>
      <c r="AX349" s="78"/>
      <c r="AY349" s="13"/>
    </row>
    <row r="350" spans="1:51" x14ac:dyDescent="0.2">
      <c r="A350" s="53">
        <v>44076</v>
      </c>
      <c r="B350" s="5"/>
      <c r="C350" s="10">
        <v>91</v>
      </c>
      <c r="D350" s="5" t="s">
        <v>20</v>
      </c>
      <c r="E350" s="14">
        <v>6000</v>
      </c>
      <c r="F350" s="14">
        <v>8302</v>
      </c>
      <c r="G350" s="14">
        <v>3552</v>
      </c>
      <c r="H350" s="33">
        <v>4.5199999999999996</v>
      </c>
      <c r="I350" s="33">
        <v>4.5599999999999996</v>
      </c>
      <c r="J350" s="55">
        <f t="array" ref="J35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44167</v>
      </c>
      <c r="K350" s="59">
        <f>IFERROR(Table13[[#This Row],[Bid Accepted]]*(Table13[[#This Row],[WAYR Current]]%/364*Table13[[#This Row],[Days To Maturity]]),0)</f>
        <v>40.137599999999992</v>
      </c>
      <c r="L350" s="41">
        <f>+Table13[[#This Row],[Bid Accepted]]-Table13[[#This Row],[Amount Offered]]</f>
        <v>-2448</v>
      </c>
      <c r="M350" s="57">
        <f>+IF(Table13[[#This Row],[WAYR Last]]&gt;0,IF(Table13[[#This Row],[WAYR Current]]&gt;0,(Table13[[#This Row],[WAYR Current]]-Table13[[#This Row],[WAYR Last]]),""),"")</f>
        <v>-4.0000000000000036E-2</v>
      </c>
      <c r="AG350" s="78"/>
      <c r="AH350" s="13"/>
      <c r="AN350" s="78"/>
      <c r="AP350" s="77"/>
      <c r="AU350" s="78"/>
      <c r="AV350" s="64"/>
      <c r="AX350" s="78"/>
      <c r="AY350" s="13"/>
    </row>
    <row r="351" spans="1:51" x14ac:dyDescent="0.2">
      <c r="A351" s="53">
        <v>44076</v>
      </c>
      <c r="B351" s="5"/>
      <c r="C351" s="10">
        <v>182</v>
      </c>
      <c r="D351" s="5" t="s">
        <v>20</v>
      </c>
      <c r="E351" s="14">
        <v>14000</v>
      </c>
      <c r="F351" s="14">
        <v>25409</v>
      </c>
      <c r="G351" s="14">
        <v>18709</v>
      </c>
      <c r="H351" s="33">
        <v>4.67</v>
      </c>
      <c r="I351" s="33">
        <v>4.68</v>
      </c>
      <c r="J351" s="55">
        <f t="array" ref="J35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44257</v>
      </c>
      <c r="K351" s="59">
        <f>IFERROR(Table13[[#This Row],[Bid Accepted]]*(Table13[[#This Row],[WAYR Current]]%/364*Table13[[#This Row],[Days To Maturity]]),0)</f>
        <v>436.85514999999998</v>
      </c>
      <c r="L351" s="41">
        <f>+Table13[[#This Row],[Bid Accepted]]-Table13[[#This Row],[Amount Offered]]</f>
        <v>4709</v>
      </c>
      <c r="M351" s="57">
        <f>+IF(Table13[[#This Row],[WAYR Last]]&gt;0,IF(Table13[[#This Row],[WAYR Current]]&gt;0,(Table13[[#This Row],[WAYR Current]]-Table13[[#This Row],[WAYR Last]]),""),"")</f>
        <v>-9.9999999999997868E-3</v>
      </c>
      <c r="AG351" s="78"/>
      <c r="AH351" s="13"/>
      <c r="AN351" s="78"/>
      <c r="AP351" s="77"/>
      <c r="AU351" s="78"/>
      <c r="AV351" s="64"/>
      <c r="AX351" s="78"/>
      <c r="AY351" s="13"/>
    </row>
    <row r="352" spans="1:51" x14ac:dyDescent="0.2">
      <c r="A352" s="53">
        <v>44076</v>
      </c>
      <c r="B352" s="5"/>
      <c r="C352" s="5">
        <v>364</v>
      </c>
      <c r="D352" s="5" t="s">
        <v>20</v>
      </c>
      <c r="E352" s="14">
        <v>20000</v>
      </c>
      <c r="F352" s="14">
        <v>31000</v>
      </c>
      <c r="G352" s="14">
        <v>17500</v>
      </c>
      <c r="H352" s="33">
        <v>4.8899999999999997</v>
      </c>
      <c r="I352" s="33">
        <v>4.8899999999999997</v>
      </c>
      <c r="J352" s="55">
        <f t="array" ref="J35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44441</v>
      </c>
      <c r="K352" s="59">
        <f>IFERROR(Table13[[#This Row],[Bid Accepted]]*(Table13[[#This Row],[WAYR Current]]%/364*Table13[[#This Row],[Days To Maturity]]),0)</f>
        <v>855.75</v>
      </c>
      <c r="L352" s="41">
        <f>+Table13[[#This Row],[Bid Accepted]]-Table13[[#This Row],[Amount Offered]]</f>
        <v>-2500</v>
      </c>
      <c r="M352" s="57">
        <f>+IF(Table13[[#This Row],[WAYR Last]]&gt;0,IF(Table13[[#This Row],[WAYR Current]]&gt;0,(Table13[[#This Row],[WAYR Current]]-Table13[[#This Row],[WAYR Last]]),""),"")</f>
        <v>0</v>
      </c>
      <c r="AG352" s="78"/>
      <c r="AH352" s="13"/>
      <c r="AN352" s="78"/>
      <c r="AP352" s="77"/>
      <c r="AU352" s="78"/>
      <c r="AV352" s="64"/>
      <c r="AX352" s="78"/>
      <c r="AY352" s="13"/>
    </row>
    <row r="353" spans="1:51" x14ac:dyDescent="0.2">
      <c r="A353" s="53">
        <v>44083</v>
      </c>
      <c r="B353" s="10"/>
      <c r="C353" s="10">
        <v>91</v>
      </c>
      <c r="D353" s="5" t="s">
        <v>20</v>
      </c>
      <c r="E353" s="14">
        <v>10000</v>
      </c>
      <c r="F353" s="18">
        <v>15552</v>
      </c>
      <c r="G353" s="18">
        <v>9322</v>
      </c>
      <c r="H353" s="37">
        <v>4.5199999999999996</v>
      </c>
      <c r="I353" s="37">
        <v>4.5199999999999996</v>
      </c>
      <c r="J353" s="12">
        <f t="array" ref="J35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44174</v>
      </c>
      <c r="K353" s="59">
        <f>IFERROR(Table13[[#This Row],[Bid Accepted]]*(Table13[[#This Row],[WAYR Current]]%/364*Table13[[#This Row],[Days To Maturity]]),0)</f>
        <v>105.33859999999997</v>
      </c>
      <c r="L353" s="41">
        <f>+Table13[[#This Row],[Bid Accepted]]-Table13[[#This Row],[Amount Offered]]</f>
        <v>-678</v>
      </c>
      <c r="M353" s="57">
        <f>+IF(Table13[[#This Row],[WAYR Last]]&gt;0,IF(Table13[[#This Row],[WAYR Current]]&gt;0,(Table13[[#This Row],[WAYR Current]]-Table13[[#This Row],[WAYR Last]]),""),"")</f>
        <v>0</v>
      </c>
      <c r="AG353" s="78"/>
      <c r="AH353" s="13"/>
      <c r="AN353" s="78"/>
      <c r="AP353" s="77"/>
      <c r="AU353" s="78"/>
      <c r="AV353" s="64"/>
      <c r="AX353" s="78"/>
      <c r="AY353" s="13"/>
    </row>
    <row r="354" spans="1:51" x14ac:dyDescent="0.2">
      <c r="A354" s="53">
        <v>44083</v>
      </c>
      <c r="B354" s="5"/>
      <c r="C354" s="10">
        <v>182</v>
      </c>
      <c r="D354" s="5" t="s">
        <v>20</v>
      </c>
      <c r="E354" s="14">
        <v>12000</v>
      </c>
      <c r="F354" s="14">
        <v>25829</v>
      </c>
      <c r="G354" s="14">
        <v>12778</v>
      </c>
      <c r="H354" s="33">
        <v>4.6500000000000004</v>
      </c>
      <c r="I354" s="33">
        <v>4.67</v>
      </c>
      <c r="J354" s="55">
        <f t="array" ref="J35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44264</v>
      </c>
      <c r="K354" s="59">
        <f>IFERROR(Table13[[#This Row],[Bid Accepted]]*(Table13[[#This Row],[WAYR Current]]%/364*Table13[[#This Row],[Days To Maturity]]),0)</f>
        <v>297.08850000000001</v>
      </c>
      <c r="L354" s="41">
        <f>+Table13[[#This Row],[Bid Accepted]]-Table13[[#This Row],[Amount Offered]]</f>
        <v>778</v>
      </c>
      <c r="M354" s="57">
        <f>+IF(Table13[[#This Row],[WAYR Last]]&gt;0,IF(Table13[[#This Row],[WAYR Current]]&gt;0,(Table13[[#This Row],[WAYR Current]]-Table13[[#This Row],[WAYR Last]]),""),"")</f>
        <v>-1.9999999999999574E-2</v>
      </c>
      <c r="AG354" s="78"/>
      <c r="AH354" s="13"/>
      <c r="AN354" s="78"/>
      <c r="AP354" s="77"/>
      <c r="AU354" s="78"/>
      <c r="AV354" s="64"/>
      <c r="AX354" s="78"/>
      <c r="AY354" s="13"/>
    </row>
    <row r="355" spans="1:51" x14ac:dyDescent="0.2">
      <c r="A355" s="53">
        <v>44083</v>
      </c>
      <c r="B355" s="5"/>
      <c r="C355" s="5">
        <v>364</v>
      </c>
      <c r="D355" s="5" t="s">
        <v>20</v>
      </c>
      <c r="E355" s="14">
        <v>18000</v>
      </c>
      <c r="F355" s="14">
        <v>25700</v>
      </c>
      <c r="G355" s="14">
        <v>17900</v>
      </c>
      <c r="H355" s="33">
        <v>4.88</v>
      </c>
      <c r="I355" s="33">
        <v>4.8899999999999997</v>
      </c>
      <c r="J355" s="55">
        <f t="array" ref="J35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44448</v>
      </c>
      <c r="K355" s="59">
        <f>IFERROR(Table13[[#This Row],[Bid Accepted]]*(Table13[[#This Row],[WAYR Current]]%/364*Table13[[#This Row],[Days To Maturity]]),0)</f>
        <v>873.52</v>
      </c>
      <c r="L355" s="41">
        <f>+Table13[[#This Row],[Bid Accepted]]-Table13[[#This Row],[Amount Offered]]</f>
        <v>-100</v>
      </c>
      <c r="M355" s="57">
        <f>+IF(Table13[[#This Row],[WAYR Last]]&gt;0,IF(Table13[[#This Row],[WAYR Current]]&gt;0,(Table13[[#This Row],[WAYR Current]]-Table13[[#This Row],[WAYR Last]]),""),"")</f>
        <v>-9.9999999999997868E-3</v>
      </c>
      <c r="AG355" s="78"/>
      <c r="AH355" s="13"/>
      <c r="AN355" s="78"/>
      <c r="AP355" s="77"/>
      <c r="AU355" s="78"/>
      <c r="AV355" s="64"/>
      <c r="AX355" s="78"/>
      <c r="AY355" s="13"/>
    </row>
    <row r="356" spans="1:51" x14ac:dyDescent="0.2">
      <c r="A356" s="53">
        <v>44090</v>
      </c>
      <c r="B356" s="10"/>
      <c r="C356" s="10">
        <v>91</v>
      </c>
      <c r="D356" s="5" t="s">
        <v>20</v>
      </c>
      <c r="E356" s="14">
        <v>8000</v>
      </c>
      <c r="F356" s="18">
        <v>15400</v>
      </c>
      <c r="G356" s="18">
        <v>8900</v>
      </c>
      <c r="H356" s="37">
        <v>4.51</v>
      </c>
      <c r="I356" s="37">
        <v>4.5199999999999996</v>
      </c>
      <c r="J356" s="12">
        <f t="array" ref="J35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44181</v>
      </c>
      <c r="K356" s="59">
        <f>IFERROR(Table13[[#This Row],[Bid Accepted]]*(Table13[[#This Row],[WAYR Current]]%/364*Table13[[#This Row],[Days To Maturity]]),0)</f>
        <v>100.34750000000003</v>
      </c>
      <c r="L356" s="41">
        <f>+Table13[[#This Row],[Bid Accepted]]-Table13[[#This Row],[Amount Offered]]</f>
        <v>900</v>
      </c>
      <c r="M356" s="57">
        <f>+IF(Table13[[#This Row],[WAYR Last]]&gt;0,IF(Table13[[#This Row],[WAYR Current]]&gt;0,(Table13[[#This Row],[WAYR Current]]-Table13[[#This Row],[WAYR Last]]),""),"")</f>
        <v>-9.9999999999997868E-3</v>
      </c>
      <c r="AG356" s="78"/>
      <c r="AH356" s="13"/>
      <c r="AN356" s="78"/>
      <c r="AP356" s="77"/>
      <c r="AU356" s="78"/>
      <c r="AV356" s="64"/>
      <c r="AX356" s="78"/>
      <c r="AY356" s="13"/>
    </row>
    <row r="357" spans="1:51" x14ac:dyDescent="0.2">
      <c r="A357" s="53">
        <v>44090</v>
      </c>
      <c r="B357" s="5"/>
      <c r="C357" s="10">
        <v>182</v>
      </c>
      <c r="D357" s="5" t="s">
        <v>20</v>
      </c>
      <c r="E357" s="14">
        <v>14000</v>
      </c>
      <c r="F357" s="14">
        <v>24407</v>
      </c>
      <c r="G357" s="14">
        <v>14707</v>
      </c>
      <c r="H357" s="33">
        <v>4.6399999999999997</v>
      </c>
      <c r="I357" s="33">
        <v>4.6500000000000004</v>
      </c>
      <c r="J357" s="55">
        <f t="array" ref="J35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44271</v>
      </c>
      <c r="K357" s="59">
        <f>IFERROR(Table13[[#This Row],[Bid Accepted]]*(Table13[[#This Row],[WAYR Current]]%/364*Table13[[#This Row],[Days To Maturity]]),0)</f>
        <v>341.20239999999995</v>
      </c>
      <c r="L357" s="41">
        <f>+Table13[[#This Row],[Bid Accepted]]-Table13[[#This Row],[Amount Offered]]</f>
        <v>707</v>
      </c>
      <c r="M357" s="57">
        <f>+IF(Table13[[#This Row],[WAYR Last]]&gt;0,IF(Table13[[#This Row],[WAYR Current]]&gt;0,(Table13[[#This Row],[WAYR Current]]-Table13[[#This Row],[WAYR Last]]),""),"")</f>
        <v>-1.0000000000000675E-2</v>
      </c>
      <c r="AG357" s="78"/>
      <c r="AH357" s="13"/>
      <c r="AN357" s="78"/>
      <c r="AP357" s="77"/>
      <c r="AU357" s="78"/>
      <c r="AV357" s="64"/>
      <c r="AX357" s="78"/>
      <c r="AY357" s="13"/>
    </row>
    <row r="358" spans="1:51" x14ac:dyDescent="0.2">
      <c r="A358" s="53">
        <v>44090</v>
      </c>
      <c r="B358" s="5"/>
      <c r="C358" s="5">
        <v>364</v>
      </c>
      <c r="D358" s="5" t="s">
        <v>20</v>
      </c>
      <c r="E358" s="14">
        <v>18000</v>
      </c>
      <c r="F358" s="14">
        <v>18820</v>
      </c>
      <c r="G358" s="14">
        <v>4870</v>
      </c>
      <c r="H358" s="33">
        <v>4.88</v>
      </c>
      <c r="I358" s="33">
        <v>4.88</v>
      </c>
      <c r="J358" s="55">
        <f t="array" ref="J35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44455</v>
      </c>
      <c r="K358" s="59">
        <f>IFERROR(Table13[[#This Row],[Bid Accepted]]*(Table13[[#This Row],[WAYR Current]]%/364*Table13[[#This Row],[Days To Maturity]]),0)</f>
        <v>237.65599999999998</v>
      </c>
      <c r="L358" s="41">
        <f>+Table13[[#This Row],[Bid Accepted]]-Table13[[#This Row],[Amount Offered]]</f>
        <v>-13130</v>
      </c>
      <c r="M358" s="57">
        <f>+IF(Table13[[#This Row],[WAYR Last]]&gt;0,IF(Table13[[#This Row],[WAYR Current]]&gt;0,(Table13[[#This Row],[WAYR Current]]-Table13[[#This Row],[WAYR Last]]),""),"")</f>
        <v>0</v>
      </c>
      <c r="AG358" s="78"/>
      <c r="AH358" s="13"/>
      <c r="AN358" s="78"/>
      <c r="AP358" s="77"/>
      <c r="AU358" s="78"/>
      <c r="AV358" s="64"/>
      <c r="AX358" s="78"/>
      <c r="AY358" s="13"/>
    </row>
    <row r="359" spans="1:51" x14ac:dyDescent="0.2">
      <c r="A359" s="53">
        <v>44097</v>
      </c>
      <c r="B359" s="10"/>
      <c r="C359" s="10">
        <v>91</v>
      </c>
      <c r="D359" s="5" t="s">
        <v>20</v>
      </c>
      <c r="E359" s="14">
        <v>9000</v>
      </c>
      <c r="F359" s="14">
        <v>12100</v>
      </c>
      <c r="G359" s="14">
        <v>4050</v>
      </c>
      <c r="H359" s="33">
        <v>4.51</v>
      </c>
      <c r="I359" s="33">
        <v>4.51</v>
      </c>
      <c r="J359" s="12">
        <f t="array" ref="J35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44188</v>
      </c>
      <c r="K359" s="59">
        <f>IFERROR(Table13[[#This Row],[Bid Accepted]]*(Table13[[#This Row],[WAYR Current]]%/364*Table13[[#This Row],[Days To Maturity]]),0)</f>
        <v>45.663750000000007</v>
      </c>
      <c r="L359" s="41">
        <f>+Table13[[#This Row],[Bid Accepted]]-Table13[[#This Row],[Amount Offered]]</f>
        <v>-4950</v>
      </c>
      <c r="M359" s="57">
        <f>+IF(Table13[[#This Row],[WAYR Last]]&gt;0,IF(Table13[[#This Row],[WAYR Current]]&gt;0,(Table13[[#This Row],[WAYR Current]]-Table13[[#This Row],[WAYR Last]]),""),"")</f>
        <v>0</v>
      </c>
      <c r="AG359" s="78"/>
      <c r="AH359" s="13"/>
      <c r="AN359" s="78"/>
      <c r="AP359" s="77"/>
      <c r="AU359" s="78"/>
      <c r="AV359" s="64"/>
      <c r="AX359" s="78"/>
      <c r="AY359" s="13"/>
    </row>
    <row r="360" spans="1:51" x14ac:dyDescent="0.2">
      <c r="A360" s="53">
        <v>44097</v>
      </c>
      <c r="B360" s="5"/>
      <c r="C360" s="10">
        <v>182</v>
      </c>
      <c r="D360" s="5" t="s">
        <v>20</v>
      </c>
      <c r="E360" s="14">
        <v>15000</v>
      </c>
      <c r="F360" s="14">
        <v>21000</v>
      </c>
      <c r="G360" s="14">
        <v>9250</v>
      </c>
      <c r="H360" s="33">
        <v>4.6399999999999997</v>
      </c>
      <c r="I360" s="33">
        <v>4.6399999999999997</v>
      </c>
      <c r="J360" s="55">
        <f t="array" ref="J36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44278</v>
      </c>
      <c r="K360" s="59">
        <f>IFERROR(Table13[[#This Row],[Bid Accepted]]*(Table13[[#This Row],[WAYR Current]]%/364*Table13[[#This Row],[Days To Maturity]]),0)</f>
        <v>214.6</v>
      </c>
      <c r="L360" s="41">
        <f>+Table13[[#This Row],[Bid Accepted]]-Table13[[#This Row],[Amount Offered]]</f>
        <v>-5750</v>
      </c>
      <c r="M360" s="57">
        <f>+IF(Table13[[#This Row],[WAYR Last]]&gt;0,IF(Table13[[#This Row],[WAYR Current]]&gt;0,(Table13[[#This Row],[WAYR Current]]-Table13[[#This Row],[WAYR Last]]),""),"")</f>
        <v>0</v>
      </c>
      <c r="AG360" s="78"/>
      <c r="AH360" s="13"/>
      <c r="AN360" s="78"/>
      <c r="AP360" s="77"/>
      <c r="AU360" s="78"/>
      <c r="AV360" s="64"/>
      <c r="AX360" s="78"/>
      <c r="AY360" s="13"/>
    </row>
    <row r="361" spans="1:51" x14ac:dyDescent="0.2">
      <c r="A361" s="53">
        <v>44097</v>
      </c>
      <c r="B361" s="5"/>
      <c r="C361" s="5">
        <v>364</v>
      </c>
      <c r="D361" s="5" t="s">
        <v>20</v>
      </c>
      <c r="E361" s="14">
        <v>16000</v>
      </c>
      <c r="F361" s="18">
        <v>19312</v>
      </c>
      <c r="G361" s="18">
        <v>5862</v>
      </c>
      <c r="H361" s="37">
        <v>4.88</v>
      </c>
      <c r="I361" s="33">
        <v>4.88</v>
      </c>
      <c r="J361" s="55">
        <f t="array" ref="J36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44462</v>
      </c>
      <c r="K361" s="59">
        <f>IFERROR(Table13[[#This Row],[Bid Accepted]]*(Table13[[#This Row],[WAYR Current]]%/364*Table13[[#This Row],[Days To Maturity]]),0)</f>
        <v>286.06559999999996</v>
      </c>
      <c r="L361" s="41">
        <f>+Table13[[#This Row],[Bid Accepted]]-Table13[[#This Row],[Amount Offered]]</f>
        <v>-10138</v>
      </c>
      <c r="M361" s="57">
        <f>+IF(Table13[[#This Row],[WAYR Last]]&gt;0,IF(Table13[[#This Row],[WAYR Current]]&gt;0,(Table13[[#This Row],[WAYR Current]]-Table13[[#This Row],[WAYR Last]]),""),"")</f>
        <v>0</v>
      </c>
      <c r="AG361" s="78"/>
      <c r="AH361" s="13"/>
      <c r="AN361" s="78"/>
      <c r="AP361" s="77"/>
      <c r="AU361" s="78"/>
      <c r="AV361" s="64"/>
      <c r="AX361" s="78"/>
      <c r="AY361" s="13"/>
    </row>
    <row r="362" spans="1:51" x14ac:dyDescent="0.2">
      <c r="A362" s="53">
        <v>44103</v>
      </c>
      <c r="B362" s="10"/>
      <c r="C362" s="10">
        <v>91</v>
      </c>
      <c r="D362" s="5" t="s">
        <v>20</v>
      </c>
      <c r="E362" s="14">
        <v>8000</v>
      </c>
      <c r="F362" s="18">
        <v>8000</v>
      </c>
      <c r="G362" s="18">
        <v>0</v>
      </c>
      <c r="H362" s="37">
        <v>0</v>
      </c>
      <c r="I362" s="37">
        <v>4.51</v>
      </c>
      <c r="J362" s="12">
        <f t="array" ref="J36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44194</v>
      </c>
      <c r="K362" s="59">
        <f>IFERROR(Table13[[#This Row],[Bid Accepted]]*(Table13[[#This Row],[WAYR Current]]%/364*Table13[[#This Row],[Days To Maturity]]),0)</f>
        <v>0</v>
      </c>
      <c r="L362" s="41">
        <f>+Table13[[#This Row],[Bid Accepted]]-Table13[[#This Row],[Amount Offered]]</f>
        <v>-8000</v>
      </c>
      <c r="M362" s="57" t="str">
        <f>+IF(Table13[[#This Row],[WAYR Last]]&gt;0,IF(Table13[[#This Row],[WAYR Current]]&gt;0,(Table13[[#This Row],[WAYR Current]]-Table13[[#This Row],[WAYR Last]]),""),"")</f>
        <v/>
      </c>
      <c r="AG362" s="78"/>
      <c r="AH362" s="13"/>
      <c r="AN362" s="78"/>
      <c r="AP362" s="77"/>
      <c r="AU362" s="78"/>
      <c r="AV362" s="64"/>
      <c r="AX362" s="78"/>
      <c r="AY362" s="13"/>
    </row>
    <row r="363" spans="1:51" x14ac:dyDescent="0.2">
      <c r="A363" s="53">
        <v>44103</v>
      </c>
      <c r="B363" s="5"/>
      <c r="C363" s="10">
        <v>182</v>
      </c>
      <c r="D363" s="5" t="s">
        <v>20</v>
      </c>
      <c r="E363" s="14">
        <v>16000</v>
      </c>
      <c r="F363" s="14">
        <v>16307</v>
      </c>
      <c r="G363" s="14">
        <v>407</v>
      </c>
      <c r="H363" s="33">
        <v>4.6399999999999997</v>
      </c>
      <c r="I363" s="33">
        <v>4.6399999999999997</v>
      </c>
      <c r="J363" s="55">
        <f t="array" ref="J36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44284</v>
      </c>
      <c r="K363" s="59">
        <f>IFERROR(Table13[[#This Row],[Bid Accepted]]*(Table13[[#This Row],[WAYR Current]]%/364*Table13[[#This Row],[Days To Maturity]]),0)</f>
        <v>9.4423999999999992</v>
      </c>
      <c r="L363" s="41">
        <f>+Table13[[#This Row],[Bid Accepted]]-Table13[[#This Row],[Amount Offered]]</f>
        <v>-15593</v>
      </c>
      <c r="M363" s="57">
        <f>+IF(Table13[[#This Row],[WAYR Last]]&gt;0,IF(Table13[[#This Row],[WAYR Current]]&gt;0,(Table13[[#This Row],[WAYR Current]]-Table13[[#This Row],[WAYR Last]]),""),"")</f>
        <v>0</v>
      </c>
      <c r="AG363" s="78"/>
      <c r="AH363" s="13"/>
      <c r="AN363" s="78"/>
      <c r="AP363" s="77"/>
      <c r="AU363" s="78"/>
      <c r="AV363" s="64"/>
      <c r="AX363" s="78"/>
      <c r="AY363" s="13"/>
    </row>
    <row r="364" spans="1:51" x14ac:dyDescent="0.2">
      <c r="A364" s="53">
        <v>44103</v>
      </c>
      <c r="B364" s="5"/>
      <c r="C364" s="5">
        <v>364</v>
      </c>
      <c r="D364" s="5" t="s">
        <v>20</v>
      </c>
      <c r="E364" s="14">
        <v>16000</v>
      </c>
      <c r="F364" s="14">
        <v>16488</v>
      </c>
      <c r="G364" s="14">
        <v>488</v>
      </c>
      <c r="H364" s="33">
        <v>4.8899999999999997</v>
      </c>
      <c r="I364" s="33">
        <v>4.88</v>
      </c>
      <c r="J364" s="55">
        <f t="array" ref="J36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44468</v>
      </c>
      <c r="K364" s="59">
        <f>IFERROR(Table13[[#This Row],[Bid Accepted]]*(Table13[[#This Row],[WAYR Current]]%/364*Table13[[#This Row],[Days To Maturity]]),0)</f>
        <v>23.863199999999999</v>
      </c>
      <c r="L364" s="41">
        <f>+Table13[[#This Row],[Bid Accepted]]-Table13[[#This Row],[Amount Offered]]</f>
        <v>-15512</v>
      </c>
      <c r="M364" s="57">
        <f>+IF(Table13[[#This Row],[WAYR Last]]&gt;0,IF(Table13[[#This Row],[WAYR Current]]&gt;0,(Table13[[#This Row],[WAYR Current]]-Table13[[#This Row],[WAYR Last]]),""),"")</f>
        <v>9.9999999999997868E-3</v>
      </c>
      <c r="AG364" s="78"/>
      <c r="AH364" s="13"/>
      <c r="AN364" s="78"/>
      <c r="AP364" s="77"/>
      <c r="AU364" s="78"/>
      <c r="AV364" s="64"/>
      <c r="AX364" s="78"/>
      <c r="AY364" s="13"/>
    </row>
    <row r="365" spans="1:51" x14ac:dyDescent="0.2">
      <c r="A365" s="53">
        <v>44111</v>
      </c>
      <c r="B365" s="5"/>
      <c r="C365" s="10">
        <v>91</v>
      </c>
      <c r="D365" s="5" t="s">
        <v>20</v>
      </c>
      <c r="E365" s="14">
        <v>7500</v>
      </c>
      <c r="F365" s="14">
        <v>7500</v>
      </c>
      <c r="G365" s="14">
        <v>330</v>
      </c>
      <c r="H365" s="33">
        <v>4.57</v>
      </c>
      <c r="I365" s="33">
        <v>0</v>
      </c>
      <c r="J365" s="55">
        <f t="array" ref="J36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44203</v>
      </c>
      <c r="K365" s="59">
        <f>IFERROR(Table13[[#This Row],[Bid Accepted]]*(Table13[[#This Row],[WAYR Current]]%/364*Table13[[#This Row],[Days To Maturity]]),0)</f>
        <v>3.7702500000000003</v>
      </c>
      <c r="L365" s="41">
        <f>+Table13[[#This Row],[Bid Accepted]]-Table13[[#This Row],[Amount Offered]]</f>
        <v>-7170</v>
      </c>
      <c r="M365" s="57" t="str">
        <f>+IF(Table13[[#This Row],[WAYR Last]]&gt;0,IF(Table13[[#This Row],[WAYR Current]]&gt;0,(Table13[[#This Row],[WAYR Current]]-Table13[[#This Row],[WAYR Last]]),""),"")</f>
        <v/>
      </c>
      <c r="AG365" s="78"/>
      <c r="AH365" s="13"/>
      <c r="AN365" s="78"/>
      <c r="AP365" s="77"/>
      <c r="AU365" s="78"/>
      <c r="AV365" s="64"/>
      <c r="AX365" s="78"/>
      <c r="AY365" s="13"/>
    </row>
    <row r="366" spans="1:51" x14ac:dyDescent="0.2">
      <c r="A366" s="53">
        <v>44111</v>
      </c>
      <c r="B366" s="5"/>
      <c r="C366" s="10">
        <v>182</v>
      </c>
      <c r="D366" s="5" t="s">
        <v>20</v>
      </c>
      <c r="E366" s="14">
        <v>15000</v>
      </c>
      <c r="F366" s="14">
        <v>16500</v>
      </c>
      <c r="G366" s="14">
        <v>3300</v>
      </c>
      <c r="H366" s="33">
        <v>4.7</v>
      </c>
      <c r="I366" s="33">
        <v>4.6399999999999997</v>
      </c>
      <c r="J366" s="55">
        <f t="array" ref="J36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44293</v>
      </c>
      <c r="K366" s="59">
        <f>IFERROR(Table13[[#This Row],[Bid Accepted]]*(Table13[[#This Row],[WAYR Current]]%/364*Table13[[#This Row],[Days To Maturity]]),0)</f>
        <v>77.550000000000011</v>
      </c>
      <c r="L366" s="41">
        <f>+Table13[[#This Row],[Bid Accepted]]-Table13[[#This Row],[Amount Offered]]</f>
        <v>-11700</v>
      </c>
      <c r="M366" s="57">
        <f>+IF(Table13[[#This Row],[WAYR Last]]&gt;0,IF(Table13[[#This Row],[WAYR Current]]&gt;0,(Table13[[#This Row],[WAYR Current]]-Table13[[#This Row],[WAYR Last]]),""),"")</f>
        <v>6.0000000000000497E-2</v>
      </c>
      <c r="AG366" s="78"/>
      <c r="AH366" s="13"/>
      <c r="AN366" s="78"/>
      <c r="AP366" s="77"/>
      <c r="AU366" s="78"/>
      <c r="AV366" s="64"/>
      <c r="AX366" s="78"/>
      <c r="AY366" s="13"/>
    </row>
    <row r="367" spans="1:51" x14ac:dyDescent="0.2">
      <c r="A367" s="53">
        <v>44111</v>
      </c>
      <c r="B367" s="5"/>
      <c r="C367" s="5">
        <v>364</v>
      </c>
      <c r="D367" s="5" t="s">
        <v>20</v>
      </c>
      <c r="E367" s="14">
        <v>17500</v>
      </c>
      <c r="F367" s="14">
        <v>21522</v>
      </c>
      <c r="G367" s="41">
        <v>11292</v>
      </c>
      <c r="H367" s="33">
        <v>4.99</v>
      </c>
      <c r="I367" s="33">
        <v>4.8899999999999997</v>
      </c>
      <c r="J367" s="55">
        <f t="array" ref="J36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44476</v>
      </c>
      <c r="K367" s="59">
        <f>IFERROR(Table13[[#This Row],[Bid Accepted]]*(Table13[[#This Row],[WAYR Current]]%/364*Table13[[#This Row],[Days To Maturity]]),0)</f>
        <v>563.47080000000005</v>
      </c>
      <c r="L367" s="41">
        <f>+Table13[[#This Row],[Bid Accepted]]-Table13[[#This Row],[Amount Offered]]</f>
        <v>-6208</v>
      </c>
      <c r="M367" s="57">
        <f>+IF(Table13[[#This Row],[WAYR Last]]&gt;0,IF(Table13[[#This Row],[WAYR Current]]&gt;0,(Table13[[#This Row],[WAYR Current]]-Table13[[#This Row],[WAYR Last]]),""),"")</f>
        <v>0.10000000000000053</v>
      </c>
      <c r="AG367" s="78"/>
      <c r="AH367" s="13"/>
      <c r="AN367" s="78"/>
      <c r="AP367" s="77"/>
      <c r="AU367" s="78"/>
      <c r="AV367" s="64"/>
      <c r="AX367" s="78"/>
      <c r="AY367" s="13"/>
    </row>
    <row r="368" spans="1:51" x14ac:dyDescent="0.2">
      <c r="A368" s="53">
        <v>44118</v>
      </c>
      <c r="B368" s="5"/>
      <c r="C368" s="10">
        <v>91</v>
      </c>
      <c r="D368" s="5" t="s">
        <v>20</v>
      </c>
      <c r="E368" s="14">
        <v>9000</v>
      </c>
      <c r="F368" s="14">
        <v>9000</v>
      </c>
      <c r="G368" s="14">
        <v>1600</v>
      </c>
      <c r="H368" s="33">
        <v>4.59</v>
      </c>
      <c r="I368" s="33">
        <v>4.57</v>
      </c>
      <c r="J368" s="55">
        <f t="array" ref="J36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44210</v>
      </c>
      <c r="K368" s="59">
        <f>IFERROR(Table13[[#This Row],[Bid Accepted]]*(Table13[[#This Row],[WAYR Current]]%/364*Table13[[#This Row],[Days To Maturity]]),0)</f>
        <v>18.36</v>
      </c>
      <c r="L368" s="41">
        <f>+Table13[[#This Row],[Bid Accepted]]-Table13[[#This Row],[Amount Offered]]</f>
        <v>-7400</v>
      </c>
      <c r="M368" s="57">
        <f>+IF(Table13[[#This Row],[WAYR Last]]&gt;0,IF(Table13[[#This Row],[WAYR Current]]&gt;0,(Table13[[#This Row],[WAYR Current]]-Table13[[#This Row],[WAYR Last]]),""),"")</f>
        <v>1.9999999999999574E-2</v>
      </c>
      <c r="N368" s="19"/>
      <c r="AG368" s="78"/>
      <c r="AH368" s="13"/>
      <c r="AN368" s="78"/>
      <c r="AP368" s="77"/>
      <c r="AU368" s="78"/>
      <c r="AV368" s="64"/>
      <c r="AX368" s="78"/>
      <c r="AY368" s="13"/>
    </row>
    <row r="369" spans="1:51" x14ac:dyDescent="0.2">
      <c r="A369" s="53">
        <v>44118</v>
      </c>
      <c r="B369" s="5"/>
      <c r="C369" s="10">
        <v>182</v>
      </c>
      <c r="D369" s="5" t="s">
        <v>20</v>
      </c>
      <c r="E369" s="14">
        <v>15000</v>
      </c>
      <c r="F369" s="14">
        <v>24815</v>
      </c>
      <c r="G369" s="14">
        <v>12665</v>
      </c>
      <c r="H369" s="33">
        <v>4.71</v>
      </c>
      <c r="I369" s="33">
        <v>4.7</v>
      </c>
      <c r="J369" s="55">
        <f t="array" ref="J36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44300</v>
      </c>
      <c r="K369" s="59">
        <f>IFERROR(Table13[[#This Row],[Bid Accepted]]*(Table13[[#This Row],[WAYR Current]]%/364*Table13[[#This Row],[Days To Maturity]]),0)</f>
        <v>298.26075000000003</v>
      </c>
      <c r="L369" s="41">
        <f>+Table13[[#This Row],[Bid Accepted]]-Table13[[#This Row],[Amount Offered]]</f>
        <v>-2335</v>
      </c>
      <c r="M369" s="57">
        <f>+IF(Table13[[#This Row],[WAYR Last]]&gt;0,IF(Table13[[#This Row],[WAYR Current]]&gt;0,(Table13[[#This Row],[WAYR Current]]-Table13[[#This Row],[WAYR Last]]),""),"")</f>
        <v>9.9999999999997868E-3</v>
      </c>
      <c r="N369" s="64">
        <f>Table13[[#This Row],[Bid Received]]/Table13[[#This Row],[Amount Offered]]</f>
        <v>1.6543333333333334</v>
      </c>
      <c r="AG369" s="78"/>
      <c r="AH369" s="13"/>
      <c r="AN369" s="78"/>
      <c r="AP369" s="77"/>
      <c r="AU369" s="78"/>
      <c r="AV369" s="64"/>
      <c r="AX369" s="78"/>
      <c r="AY369" s="13"/>
    </row>
    <row r="370" spans="1:51" x14ac:dyDescent="0.2">
      <c r="A370" s="53">
        <v>44118</v>
      </c>
      <c r="B370" s="5"/>
      <c r="C370" s="5">
        <v>364</v>
      </c>
      <c r="D370" s="5" t="s">
        <v>20</v>
      </c>
      <c r="E370" s="14">
        <v>16000</v>
      </c>
      <c r="F370" s="14">
        <v>45429</v>
      </c>
      <c r="G370" s="14">
        <v>25735</v>
      </c>
      <c r="H370" s="33">
        <v>4.99</v>
      </c>
      <c r="I370" s="33">
        <v>4.99</v>
      </c>
      <c r="J370" s="55">
        <f t="array" ref="J37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44483</v>
      </c>
      <c r="K370" s="59">
        <f>IFERROR(Table13[[#This Row],[Bid Accepted]]*(Table13[[#This Row],[WAYR Current]]%/364*Table13[[#This Row],[Days To Maturity]]),0)</f>
        <v>1284.1765000000003</v>
      </c>
      <c r="L370" s="41">
        <f>+Table13[[#This Row],[Bid Accepted]]-Table13[[#This Row],[Amount Offered]]</f>
        <v>9735</v>
      </c>
      <c r="M370" s="57">
        <f>+IF(Table13[[#This Row],[WAYR Last]]&gt;0,IF(Table13[[#This Row],[WAYR Current]]&gt;0,(Table13[[#This Row],[WAYR Current]]-Table13[[#This Row],[WAYR Last]]),""),"")</f>
        <v>0</v>
      </c>
      <c r="N370" s="64">
        <f>Table13[[#This Row],[Bid Received]]/Table13[[#This Row],[Amount Offered]]</f>
        <v>2.8393125000000001</v>
      </c>
      <c r="AG370" s="78"/>
      <c r="AH370" s="13"/>
      <c r="AN370" s="78"/>
      <c r="AP370" s="77"/>
      <c r="AU370" s="78"/>
      <c r="AV370" s="64"/>
      <c r="AX370" s="78"/>
      <c r="AY370" s="13"/>
    </row>
    <row r="371" spans="1:51" x14ac:dyDescent="0.2">
      <c r="A371" s="53">
        <v>44125</v>
      </c>
      <c r="B371" s="5"/>
      <c r="C371" s="10">
        <v>91</v>
      </c>
      <c r="D371" s="5" t="s">
        <v>20</v>
      </c>
      <c r="E371" s="14">
        <v>4000</v>
      </c>
      <c r="F371" s="14">
        <v>4500</v>
      </c>
      <c r="G371" s="14">
        <v>0</v>
      </c>
      <c r="H371" s="33">
        <v>0</v>
      </c>
      <c r="I371" s="33">
        <v>4.59</v>
      </c>
      <c r="J371" s="55">
        <f t="array" ref="J37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44217</v>
      </c>
      <c r="K371" s="59">
        <f>IFERROR(Table13[[#This Row],[Bid Accepted]]*(Table13[[#This Row],[WAYR Current]]%/364*Table13[[#This Row],[Days To Maturity]]),0)</f>
        <v>0</v>
      </c>
      <c r="L371" s="41">
        <f>+Table13[[#This Row],[Bid Accepted]]-Table13[[#This Row],[Amount Offered]]</f>
        <v>-4000</v>
      </c>
      <c r="M371" s="57" t="str">
        <f>+IF(Table13[[#This Row],[WAYR Last]]&gt;0,IF(Table13[[#This Row],[WAYR Current]]&gt;0,(Table13[[#This Row],[WAYR Current]]-Table13[[#This Row],[WAYR Last]]),""),"")</f>
        <v/>
      </c>
      <c r="N371" s="64">
        <f>Table13[[#This Row],[Bid Received]]/Table13[[#This Row],[Amount Offered]]</f>
        <v>1.125</v>
      </c>
      <c r="AG371" s="78"/>
      <c r="AH371" s="13"/>
      <c r="AN371" s="78"/>
      <c r="AP371" s="77"/>
      <c r="AU371" s="78"/>
      <c r="AV371" s="64"/>
      <c r="AX371" s="78"/>
      <c r="AY371" s="13"/>
    </row>
    <row r="372" spans="1:51" x14ac:dyDescent="0.2">
      <c r="A372" s="53">
        <v>44125</v>
      </c>
      <c r="B372" s="5"/>
      <c r="C372" s="10">
        <v>182</v>
      </c>
      <c r="D372" s="5" t="s">
        <v>20</v>
      </c>
      <c r="E372" s="14">
        <v>18000</v>
      </c>
      <c r="F372" s="14">
        <v>23763</v>
      </c>
      <c r="G372" s="14">
        <v>14663</v>
      </c>
      <c r="H372" s="33">
        <v>3.87</v>
      </c>
      <c r="I372" s="33">
        <v>4.71</v>
      </c>
      <c r="J372" s="55">
        <f t="array" ref="J37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44307</v>
      </c>
      <c r="K372" s="59">
        <f>IFERROR(Table13[[#This Row],[Bid Accepted]]*(Table13[[#This Row],[WAYR Current]]%/364*Table13[[#This Row],[Days To Maturity]]),0)</f>
        <v>283.72904999999997</v>
      </c>
      <c r="L372" s="41">
        <f>+Table13[[#This Row],[Bid Accepted]]-Table13[[#This Row],[Amount Offered]]</f>
        <v>-3337</v>
      </c>
      <c r="M372" s="57">
        <f>+IF(Table13[[#This Row],[WAYR Last]]&gt;0,IF(Table13[[#This Row],[WAYR Current]]&gt;0,(Table13[[#This Row],[WAYR Current]]-Table13[[#This Row],[WAYR Last]]),""),"")</f>
        <v>-0.83999999999999986</v>
      </c>
      <c r="N372" s="64">
        <f>Table13[[#This Row],[Bid Received]]/Table13[[#This Row],[Amount Offered]]</f>
        <v>1.3201666666666667</v>
      </c>
      <c r="AG372" s="78"/>
      <c r="AH372" s="13"/>
      <c r="AN372" s="78"/>
      <c r="AP372" s="77"/>
      <c r="AU372" s="78"/>
      <c r="AV372" s="64"/>
      <c r="AX372" s="78"/>
      <c r="AY372" s="13"/>
    </row>
    <row r="373" spans="1:51" x14ac:dyDescent="0.2">
      <c r="A373" s="53">
        <v>44125</v>
      </c>
      <c r="B373" s="5"/>
      <c r="C373" s="5">
        <v>364</v>
      </c>
      <c r="D373" s="5" t="s">
        <v>20</v>
      </c>
      <c r="E373" s="14">
        <v>18000</v>
      </c>
      <c r="F373" s="14">
        <v>54626</v>
      </c>
      <c r="G373" s="14">
        <v>25337</v>
      </c>
      <c r="H373" s="33">
        <v>4.13</v>
      </c>
      <c r="I373" s="33">
        <v>4.99</v>
      </c>
      <c r="J373" s="55">
        <f t="array" ref="J37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44490</v>
      </c>
      <c r="K373" s="59">
        <f>IFERROR(Table13[[#This Row],[Bid Accepted]]*(Table13[[#This Row],[WAYR Current]]%/364*Table13[[#This Row],[Days To Maturity]]),0)</f>
        <v>1046.4180999999999</v>
      </c>
      <c r="L373" s="41">
        <f>+Table13[[#This Row],[Bid Accepted]]-Table13[[#This Row],[Amount Offered]]</f>
        <v>7337</v>
      </c>
      <c r="M373" s="57">
        <f>+IF(Table13[[#This Row],[WAYR Last]]&gt;0,IF(Table13[[#This Row],[WAYR Current]]&gt;0,(Table13[[#This Row],[WAYR Current]]-Table13[[#This Row],[WAYR Last]]),""),"")</f>
        <v>-0.86000000000000032</v>
      </c>
      <c r="N373" s="64">
        <f>Table13[[#This Row],[Bid Received]]/Table13[[#This Row],[Amount Offered]]</f>
        <v>3.0347777777777778</v>
      </c>
      <c r="AG373" s="78"/>
      <c r="AH373" s="13"/>
      <c r="AN373" s="78"/>
      <c r="AP373" s="77"/>
      <c r="AU373" s="78"/>
      <c r="AV373" s="64"/>
      <c r="AX373" s="78"/>
      <c r="AY373" s="13"/>
    </row>
    <row r="374" spans="1:51" x14ac:dyDescent="0.2">
      <c r="A374" s="53">
        <v>44131</v>
      </c>
      <c r="B374" s="10"/>
      <c r="C374" s="10">
        <v>91</v>
      </c>
      <c r="D374" s="5" t="s">
        <v>20</v>
      </c>
      <c r="E374" s="14">
        <v>7500</v>
      </c>
      <c r="F374" s="18">
        <v>8000</v>
      </c>
      <c r="G374" s="18">
        <v>1205</v>
      </c>
      <c r="H374" s="37">
        <v>4.57</v>
      </c>
      <c r="I374" s="37">
        <v>0</v>
      </c>
      <c r="J374" s="12">
        <f t="array" ref="J37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44223</v>
      </c>
      <c r="K374" s="59">
        <f>IFERROR(Table13[[#This Row],[Bid Accepted]]*(Table13[[#This Row],[WAYR Current]]%/364*Table13[[#This Row],[Days To Maturity]]),0)</f>
        <v>13.767125000000002</v>
      </c>
      <c r="L374" s="41">
        <f>+Table13[[#This Row],[Bid Accepted]]-Table13[[#This Row],[Amount Offered]]</f>
        <v>-6295</v>
      </c>
      <c r="M374" s="57" t="str">
        <f>+IF(Table13[[#This Row],[WAYR Last]]&gt;0,IF(Table13[[#This Row],[WAYR Current]]&gt;0,(Table13[[#This Row],[WAYR Current]]-Table13[[#This Row],[WAYR Last]]),""),"")</f>
        <v/>
      </c>
      <c r="N374" s="64">
        <f>Table13[[#This Row],[Bid Received]]/Table13[[#This Row],[Amount Offered]]</f>
        <v>1.0666666666666667</v>
      </c>
      <c r="AG374" s="78"/>
      <c r="AH374" s="13"/>
      <c r="AN374" s="78"/>
      <c r="AP374" s="77"/>
      <c r="AU374" s="78"/>
      <c r="AV374" s="64"/>
      <c r="AX374" s="78"/>
      <c r="AY374" s="13"/>
    </row>
    <row r="375" spans="1:51" x14ac:dyDescent="0.2">
      <c r="A375" s="53">
        <v>44131</v>
      </c>
      <c r="B375" s="5"/>
      <c r="C375" s="10">
        <v>182</v>
      </c>
      <c r="D375" s="5" t="s">
        <v>20</v>
      </c>
      <c r="E375" s="14">
        <v>15000</v>
      </c>
      <c r="F375" s="14">
        <v>18852</v>
      </c>
      <c r="G375" s="14">
        <v>7852</v>
      </c>
      <c r="H375" s="33">
        <v>4.6900000000000004</v>
      </c>
      <c r="I375" s="33">
        <v>3.87</v>
      </c>
      <c r="J375" s="55">
        <f t="array" ref="J37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44313</v>
      </c>
      <c r="K375" s="59">
        <f>IFERROR(Table13[[#This Row],[Bid Accepted]]*(Table13[[#This Row],[WAYR Current]]%/364*Table13[[#This Row],[Days To Maturity]]),0)</f>
        <v>184.12940000000003</v>
      </c>
      <c r="L375" s="41">
        <f>+Table13[[#This Row],[Bid Accepted]]-Table13[[#This Row],[Amount Offered]]</f>
        <v>-7148</v>
      </c>
      <c r="M375" s="57">
        <f>+IF(Table13[[#This Row],[WAYR Last]]&gt;0,IF(Table13[[#This Row],[WAYR Current]]&gt;0,(Table13[[#This Row],[WAYR Current]]-Table13[[#This Row],[WAYR Last]]),""),"")</f>
        <v>0.82000000000000028</v>
      </c>
      <c r="N375" s="64">
        <f>Table13[[#This Row],[Bid Received]]/Table13[[#This Row],[Amount Offered]]</f>
        <v>1.2567999999999999</v>
      </c>
      <c r="AG375" s="78"/>
      <c r="AH375" s="13"/>
      <c r="AN375" s="78"/>
      <c r="AP375" s="77"/>
      <c r="AU375" s="78"/>
      <c r="AV375" s="64"/>
      <c r="AX375" s="78"/>
      <c r="AY375" s="13"/>
    </row>
    <row r="376" spans="1:51" x14ac:dyDescent="0.2">
      <c r="A376" s="53">
        <v>44131</v>
      </c>
      <c r="B376" s="5"/>
      <c r="C376" s="5">
        <v>364</v>
      </c>
      <c r="D376" s="5" t="s">
        <v>20</v>
      </c>
      <c r="E376" s="14">
        <v>17500</v>
      </c>
      <c r="F376" s="14">
        <v>34185</v>
      </c>
      <c r="G376" s="14">
        <v>23435</v>
      </c>
      <c r="H376" s="33">
        <v>4.96</v>
      </c>
      <c r="I376" s="33">
        <v>4.13</v>
      </c>
      <c r="J376" s="55">
        <f t="array" ref="J37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44496</v>
      </c>
      <c r="K376" s="59">
        <f>IFERROR(Table13[[#This Row],[Bid Accepted]]*(Table13[[#This Row],[WAYR Current]]%/364*Table13[[#This Row],[Days To Maturity]]),0)</f>
        <v>1162.376</v>
      </c>
      <c r="L376" s="41">
        <f>+Table13[[#This Row],[Bid Accepted]]-Table13[[#This Row],[Amount Offered]]</f>
        <v>5935</v>
      </c>
      <c r="M376" s="57">
        <f>+IF(Table13[[#This Row],[WAYR Last]]&gt;0,IF(Table13[[#This Row],[WAYR Current]]&gt;0,(Table13[[#This Row],[WAYR Current]]-Table13[[#This Row],[WAYR Last]]),""),"")</f>
        <v>0.83000000000000007</v>
      </c>
      <c r="N376" s="64">
        <f>Table13[[#This Row],[Bid Received]]/Table13[[#This Row],[Amount Offered]]</f>
        <v>1.9534285714285715</v>
      </c>
      <c r="AG376" s="78"/>
      <c r="AH376" s="13"/>
      <c r="AN376" s="78"/>
      <c r="AP376" s="77"/>
      <c r="AU376" s="78"/>
      <c r="AV376" s="64"/>
      <c r="AX376" s="78"/>
      <c r="AY376" s="13"/>
    </row>
    <row r="377" spans="1:51" x14ac:dyDescent="0.2">
      <c r="A377" s="53">
        <v>44139</v>
      </c>
      <c r="B377" s="5"/>
      <c r="C377" s="10">
        <v>91</v>
      </c>
      <c r="D377" s="5" t="s">
        <v>20</v>
      </c>
      <c r="E377" s="14">
        <v>6000</v>
      </c>
      <c r="F377" s="14">
        <v>6705</v>
      </c>
      <c r="G377" s="14">
        <v>400</v>
      </c>
      <c r="H377" s="33">
        <v>4.57</v>
      </c>
      <c r="I377" s="33">
        <v>4.57</v>
      </c>
      <c r="J377" s="55">
        <f t="array" ref="J37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44231</v>
      </c>
      <c r="K377" s="59">
        <f>IFERROR(Table13[[#This Row],[Bid Accepted]]*(Table13[[#This Row],[WAYR Current]]%/364*Table13[[#This Row],[Days To Maturity]]),0)</f>
        <v>4.57</v>
      </c>
      <c r="L377" s="41">
        <f>+Table13[[#This Row],[Bid Accepted]]-Table13[[#This Row],[Amount Offered]]</f>
        <v>-5600</v>
      </c>
      <c r="M377" s="57">
        <f>+IF(Table13[[#This Row],[WAYR Last]]&gt;0,IF(Table13[[#This Row],[WAYR Current]]&gt;0,(Table13[[#This Row],[WAYR Current]]-Table13[[#This Row],[WAYR Last]]),""),"")</f>
        <v>0</v>
      </c>
      <c r="N377" s="64">
        <f>Table13[[#This Row],[Bid Received]]/Table13[[#This Row],[Amount Offered]]</f>
        <v>1.1174999999999999</v>
      </c>
      <c r="AG377" s="78"/>
      <c r="AH377" s="13"/>
      <c r="AN377" s="78"/>
      <c r="AP377" s="77"/>
      <c r="AU377" s="78"/>
      <c r="AV377" s="64"/>
      <c r="AX377" s="78"/>
      <c r="AY377" s="13"/>
    </row>
    <row r="378" spans="1:51" x14ac:dyDescent="0.2">
      <c r="A378" s="53">
        <v>44139</v>
      </c>
      <c r="B378" s="5"/>
      <c r="C378" s="10">
        <v>182</v>
      </c>
      <c r="D378" s="5" t="s">
        <v>20</v>
      </c>
      <c r="E378" s="14">
        <v>16000</v>
      </c>
      <c r="F378" s="14">
        <v>18534</v>
      </c>
      <c r="G378" s="14">
        <v>5184</v>
      </c>
      <c r="H378" s="33">
        <v>4.6900000000000004</v>
      </c>
      <c r="I378" s="33">
        <v>4.6900000000000004</v>
      </c>
      <c r="J378" s="55">
        <f t="array" ref="J37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44320</v>
      </c>
      <c r="K378" s="59">
        <f>IFERROR(Table13[[#This Row],[Bid Accepted]]*(Table13[[#This Row],[WAYR Current]]%/364*Table13[[#This Row],[Days To Maturity]]),0)</f>
        <v>121.56480000000003</v>
      </c>
      <c r="L378" s="41">
        <f>+Table13[[#This Row],[Bid Accepted]]-Table13[[#This Row],[Amount Offered]]</f>
        <v>-10816</v>
      </c>
      <c r="M378" s="57">
        <f>+IF(Table13[[#This Row],[WAYR Last]]&gt;0,IF(Table13[[#This Row],[WAYR Current]]&gt;0,(Table13[[#This Row],[WAYR Current]]-Table13[[#This Row],[WAYR Last]]),""),"")</f>
        <v>0</v>
      </c>
      <c r="N378" s="64">
        <f>Table13[[#This Row],[Bid Received]]/Table13[[#This Row],[Amount Offered]]</f>
        <v>1.1583749999999999</v>
      </c>
      <c r="AG378" s="78"/>
      <c r="AH378" s="13"/>
      <c r="AN378" s="78"/>
      <c r="AP378" s="77"/>
      <c r="AU378" s="78"/>
      <c r="AV378" s="64"/>
      <c r="AX378" s="78"/>
      <c r="AY378" s="13"/>
    </row>
    <row r="379" spans="1:51" x14ac:dyDescent="0.2">
      <c r="A379" s="53">
        <v>44139</v>
      </c>
      <c r="B379" s="5"/>
      <c r="C379" s="5">
        <v>364</v>
      </c>
      <c r="D379" s="5" t="s">
        <v>20</v>
      </c>
      <c r="E379" s="14">
        <v>18000</v>
      </c>
      <c r="F379" s="14">
        <v>27077</v>
      </c>
      <c r="G379" s="14">
        <v>13427</v>
      </c>
      <c r="H379" s="33">
        <v>4.96</v>
      </c>
      <c r="I379" s="33">
        <v>4.96</v>
      </c>
      <c r="J379" s="55">
        <f t="array" ref="J37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44504</v>
      </c>
      <c r="K379" s="59">
        <f>IFERROR(Table13[[#This Row],[Bid Accepted]]*(Table13[[#This Row],[WAYR Current]]%/364*Table13[[#This Row],[Days To Maturity]]),0)</f>
        <v>665.97919999999999</v>
      </c>
      <c r="L379" s="41">
        <f>+Table13[[#This Row],[Bid Accepted]]-Table13[[#This Row],[Amount Offered]]</f>
        <v>-4573</v>
      </c>
      <c r="M379" s="57">
        <f>+IF(Table13[[#This Row],[WAYR Last]]&gt;0,IF(Table13[[#This Row],[WAYR Current]]&gt;0,(Table13[[#This Row],[WAYR Current]]-Table13[[#This Row],[WAYR Last]]),""),"")</f>
        <v>0</v>
      </c>
      <c r="N379" s="64">
        <f>Table13[[#This Row],[Bid Received]]/Table13[[#This Row],[Amount Offered]]</f>
        <v>1.5042777777777778</v>
      </c>
      <c r="AG379" s="78"/>
      <c r="AH379" s="13"/>
      <c r="AN379" s="78"/>
      <c r="AP379" s="77"/>
      <c r="AU379" s="78"/>
      <c r="AV379" s="64"/>
      <c r="AX379" s="78"/>
      <c r="AY379" s="13"/>
    </row>
    <row r="380" spans="1:51" x14ac:dyDescent="0.2">
      <c r="A380" s="53">
        <v>44146</v>
      </c>
      <c r="B380" s="10"/>
      <c r="C380" s="10">
        <v>91</v>
      </c>
      <c r="D380" s="5" t="s">
        <v>20</v>
      </c>
      <c r="E380" s="14">
        <v>5000</v>
      </c>
      <c r="F380" s="18">
        <v>8440</v>
      </c>
      <c r="G380" s="18">
        <v>4060</v>
      </c>
      <c r="H380" s="37">
        <v>4.5999999999999996</v>
      </c>
      <c r="I380" s="37">
        <v>4.57</v>
      </c>
      <c r="J380" s="12">
        <f t="array" ref="J38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44238</v>
      </c>
      <c r="K380" s="59">
        <f>IFERROR(Table13[[#This Row],[Bid Accepted]]*(Table13[[#This Row],[WAYR Current]]%/364*Table13[[#This Row],[Days To Maturity]]),0)</f>
        <v>46.69</v>
      </c>
      <c r="L380" s="41">
        <f>+Table13[[#This Row],[Bid Accepted]]-Table13[[#This Row],[Amount Offered]]</f>
        <v>-940</v>
      </c>
      <c r="M380" s="57">
        <f>+IF(Table13[[#This Row],[WAYR Last]]&gt;0,IF(Table13[[#This Row],[WAYR Current]]&gt;0,(Table13[[#This Row],[WAYR Current]]-Table13[[#This Row],[WAYR Last]]),""),"")</f>
        <v>2.9999999999999361E-2</v>
      </c>
      <c r="N380" s="64">
        <f>Table13[[#This Row],[Bid Received]]/Table13[[#This Row],[Amount Offered]]</f>
        <v>1.6879999999999999</v>
      </c>
      <c r="AG380" s="78"/>
      <c r="AH380" s="13"/>
      <c r="AN380" s="78"/>
      <c r="AP380" s="77"/>
      <c r="AU380" s="78"/>
      <c r="AV380" s="64"/>
      <c r="AX380" s="78"/>
      <c r="AY380" s="13"/>
    </row>
    <row r="381" spans="1:51" x14ac:dyDescent="0.2">
      <c r="A381" s="53">
        <v>44146</v>
      </c>
      <c r="B381" s="5"/>
      <c r="C381" s="10">
        <v>182</v>
      </c>
      <c r="D381" s="5" t="s">
        <v>20</v>
      </c>
      <c r="E381" s="14">
        <v>11000</v>
      </c>
      <c r="F381" s="14">
        <v>11905</v>
      </c>
      <c r="G381" s="14">
        <v>2205</v>
      </c>
      <c r="H381" s="33">
        <v>4.7</v>
      </c>
      <c r="I381" s="33">
        <v>4.6900000000000004</v>
      </c>
      <c r="J381" s="55">
        <f t="array" ref="J38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44327</v>
      </c>
      <c r="K381" s="59">
        <f>IFERROR(Table13[[#This Row],[Bid Accepted]]*(Table13[[#This Row],[WAYR Current]]%/364*Table13[[#This Row],[Days To Maturity]]),0)</f>
        <v>51.81750000000001</v>
      </c>
      <c r="L381" s="41">
        <f>+Table13[[#This Row],[Bid Accepted]]-Table13[[#This Row],[Amount Offered]]</f>
        <v>-8795</v>
      </c>
      <c r="M381" s="57">
        <f>+IF(Table13[[#This Row],[WAYR Last]]&gt;0,IF(Table13[[#This Row],[WAYR Current]]&gt;0,(Table13[[#This Row],[WAYR Current]]-Table13[[#This Row],[WAYR Last]]),""),"")</f>
        <v>9.9999999999997868E-3</v>
      </c>
      <c r="N381" s="64">
        <f>Table13[[#This Row],[Bid Received]]/Table13[[#This Row],[Amount Offered]]</f>
        <v>1.0822727272727273</v>
      </c>
      <c r="AG381" s="78"/>
      <c r="AH381" s="13"/>
      <c r="AN381" s="78"/>
      <c r="AP381" s="77"/>
      <c r="AU381" s="78"/>
      <c r="AV381" s="64"/>
      <c r="AX381" s="78"/>
      <c r="AY381" s="13"/>
    </row>
    <row r="382" spans="1:51" x14ac:dyDescent="0.2">
      <c r="A382" s="53">
        <v>44146</v>
      </c>
      <c r="B382" s="5"/>
      <c r="C382" s="5">
        <v>364</v>
      </c>
      <c r="D382" s="5" t="s">
        <v>20</v>
      </c>
      <c r="E382" s="14">
        <v>24000</v>
      </c>
      <c r="F382" s="14">
        <v>24325</v>
      </c>
      <c r="G382" s="14">
        <v>2925</v>
      </c>
      <c r="H382" s="33">
        <v>4.97</v>
      </c>
      <c r="I382" s="33">
        <v>4.96</v>
      </c>
      <c r="J382" s="55">
        <f t="array" ref="J38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44511</v>
      </c>
      <c r="K382" s="59">
        <f>IFERROR(Table13[[#This Row],[Bid Accepted]]*(Table13[[#This Row],[WAYR Current]]%/364*Table13[[#This Row],[Days To Maturity]]),0)</f>
        <v>145.37249999999997</v>
      </c>
      <c r="L382" s="41">
        <f>+Table13[[#This Row],[Bid Accepted]]-Table13[[#This Row],[Amount Offered]]</f>
        <v>-21075</v>
      </c>
      <c r="M382" s="57">
        <f>+IF(Table13[[#This Row],[WAYR Last]]&gt;0,IF(Table13[[#This Row],[WAYR Current]]&gt;0,(Table13[[#This Row],[WAYR Current]]-Table13[[#This Row],[WAYR Last]]),""),"")</f>
        <v>9.9999999999997868E-3</v>
      </c>
      <c r="N382" s="64">
        <f>Table13[[#This Row],[Bid Received]]/Table13[[#This Row],[Amount Offered]]</f>
        <v>1.0135416666666666</v>
      </c>
      <c r="AG382" s="78"/>
      <c r="AH382" s="13"/>
      <c r="AN382" s="78"/>
      <c r="AP382" s="77"/>
      <c r="AU382" s="78"/>
      <c r="AV382" s="64"/>
      <c r="AX382" s="78"/>
      <c r="AY382" s="13"/>
    </row>
    <row r="383" spans="1:51" x14ac:dyDescent="0.2">
      <c r="A383" s="53">
        <v>44153</v>
      </c>
      <c r="B383" s="10"/>
      <c r="C383" s="10">
        <v>91</v>
      </c>
      <c r="D383" s="5" t="s">
        <v>20</v>
      </c>
      <c r="E383" s="11">
        <v>8000</v>
      </c>
      <c r="F383" s="27">
        <v>8330</v>
      </c>
      <c r="G383" s="27">
        <v>1125</v>
      </c>
      <c r="H383" s="28">
        <v>4.6100000000000003</v>
      </c>
      <c r="I383" s="28">
        <v>4.5999999999999996</v>
      </c>
      <c r="J383" s="12">
        <f t="array" ref="J38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44245</v>
      </c>
      <c r="K383" s="59">
        <f>IFERROR(Table13[[#This Row],[Bid Accepted]]*(Table13[[#This Row],[WAYR Current]]%/364*Table13[[#This Row],[Days To Maturity]]),0)</f>
        <v>12.965624999999999</v>
      </c>
      <c r="L383" s="41">
        <f>+Table13[[#This Row],[Bid Accepted]]-Table13[[#This Row],[Amount Offered]]</f>
        <v>-6875</v>
      </c>
      <c r="M383" s="57">
        <f>+IF(Table13[[#This Row],[WAYR Last]]&gt;0,IF(Table13[[#This Row],[WAYR Current]]&gt;0,(Table13[[#This Row],[WAYR Current]]-Table13[[#This Row],[WAYR Last]]),""),"")</f>
        <v>1.0000000000000675E-2</v>
      </c>
      <c r="N383" s="64">
        <f>Table13[[#This Row],[Bid Received]]/Table13[[#This Row],[Amount Offered]]</f>
        <v>1.04125</v>
      </c>
      <c r="AG383" s="78"/>
      <c r="AH383" s="13"/>
      <c r="AN383" s="78"/>
      <c r="AP383" s="77"/>
      <c r="AU383" s="78"/>
      <c r="AV383" s="64"/>
      <c r="AX383" s="78"/>
      <c r="AY383" s="13"/>
    </row>
    <row r="384" spans="1:51" x14ac:dyDescent="0.2">
      <c r="A384" s="53">
        <v>44153</v>
      </c>
      <c r="B384" s="5"/>
      <c r="C384" s="10">
        <v>182</v>
      </c>
      <c r="D384" s="5" t="s">
        <v>20</v>
      </c>
      <c r="E384" s="11">
        <v>13000</v>
      </c>
      <c r="F384" s="11">
        <v>14400</v>
      </c>
      <c r="G384" s="11">
        <v>3150</v>
      </c>
      <c r="H384" s="64">
        <v>4.7300000000000004</v>
      </c>
      <c r="I384" s="64">
        <v>4.7</v>
      </c>
      <c r="J384" s="55">
        <f t="array" ref="J38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44334</v>
      </c>
      <c r="K384" s="59">
        <f>IFERROR(Table13[[#This Row],[Bid Accepted]]*(Table13[[#This Row],[WAYR Current]]%/364*Table13[[#This Row],[Days To Maturity]]),0)</f>
        <v>74.497500000000002</v>
      </c>
      <c r="L384" s="41">
        <f>+Table13[[#This Row],[Bid Accepted]]-Table13[[#This Row],[Amount Offered]]</f>
        <v>-9850</v>
      </c>
      <c r="M384" s="57">
        <f>+IF(Table13[[#This Row],[WAYR Last]]&gt;0,IF(Table13[[#This Row],[WAYR Current]]&gt;0,(Table13[[#This Row],[WAYR Current]]-Table13[[#This Row],[WAYR Last]]),""),"")</f>
        <v>3.0000000000000249E-2</v>
      </c>
      <c r="N384" s="64">
        <f>Table13[[#This Row],[Bid Received]]/Table13[[#This Row],[Amount Offered]]</f>
        <v>1.1076923076923078</v>
      </c>
      <c r="AG384" s="78"/>
      <c r="AH384" s="13"/>
      <c r="AN384" s="78"/>
      <c r="AP384" s="77"/>
      <c r="AU384" s="78"/>
      <c r="AV384" s="64"/>
      <c r="AX384" s="78"/>
      <c r="AY384" s="13"/>
    </row>
    <row r="385" spans="1:51" x14ac:dyDescent="0.2">
      <c r="A385" s="53">
        <v>44153</v>
      </c>
      <c r="B385" s="5"/>
      <c r="C385" s="5">
        <v>364</v>
      </c>
      <c r="D385" s="5" t="s">
        <v>20</v>
      </c>
      <c r="E385" s="11">
        <v>19000</v>
      </c>
      <c r="F385" s="11">
        <v>20075</v>
      </c>
      <c r="G385" s="11">
        <v>3375</v>
      </c>
      <c r="H385" s="64">
        <v>4.9800000000000004</v>
      </c>
      <c r="I385" s="64">
        <v>4.97</v>
      </c>
      <c r="J385" s="55">
        <f t="array" ref="J38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44518</v>
      </c>
      <c r="K385" s="59">
        <f>IFERROR(Table13[[#This Row],[Bid Accepted]]*(Table13[[#This Row],[WAYR Current]]%/364*Table13[[#This Row],[Days To Maturity]]),0)</f>
        <v>168.07500000000005</v>
      </c>
      <c r="L385" s="41">
        <f>+Table13[[#This Row],[Bid Accepted]]-Table13[[#This Row],[Amount Offered]]</f>
        <v>-15625</v>
      </c>
      <c r="M385" s="57">
        <f>+IF(Table13[[#This Row],[WAYR Last]]&gt;0,IF(Table13[[#This Row],[WAYR Current]]&gt;0,(Table13[[#This Row],[WAYR Current]]-Table13[[#This Row],[WAYR Last]]),""),"")</f>
        <v>1.0000000000000675E-2</v>
      </c>
      <c r="N385" s="64">
        <f>Table13[[#This Row],[Bid Received]]/Table13[[#This Row],[Amount Offered]]</f>
        <v>1.0565789473684211</v>
      </c>
      <c r="AG385" s="78"/>
      <c r="AH385" s="13"/>
      <c r="AN385" s="78"/>
      <c r="AP385" s="77"/>
      <c r="AU385" s="78"/>
      <c r="AV385" s="64"/>
      <c r="AX385" s="78"/>
      <c r="AY385" s="13"/>
    </row>
    <row r="386" spans="1:51" x14ac:dyDescent="0.2">
      <c r="A386" s="53">
        <v>44160</v>
      </c>
      <c r="B386" s="10"/>
      <c r="C386" s="10">
        <v>91</v>
      </c>
      <c r="D386" s="5" t="s">
        <v>20</v>
      </c>
      <c r="E386" s="14">
        <v>2500</v>
      </c>
      <c r="F386" s="18">
        <v>6680</v>
      </c>
      <c r="G386" s="18">
        <v>5025</v>
      </c>
      <c r="H386" s="37">
        <v>4.6399999999999997</v>
      </c>
      <c r="I386" s="37">
        <v>4.6100000000000003</v>
      </c>
      <c r="J386" s="12">
        <f t="array" ref="J38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44252</v>
      </c>
      <c r="K386" s="59">
        <f>IFERROR(Table13[[#This Row],[Bid Accepted]]*(Table13[[#This Row],[WAYR Current]]%/364*Table13[[#This Row],[Days To Maturity]]),0)</f>
        <v>58.29</v>
      </c>
      <c r="L386" s="41">
        <f>+Table13[[#This Row],[Bid Accepted]]-Table13[[#This Row],[Amount Offered]]</f>
        <v>2525</v>
      </c>
      <c r="M386" s="57">
        <f>+IF(Table13[[#This Row],[WAYR Last]]&gt;0,IF(Table13[[#This Row],[WAYR Current]]&gt;0,(Table13[[#This Row],[WAYR Current]]-Table13[[#This Row],[WAYR Last]]),""),"")</f>
        <v>2.9999999999999361E-2</v>
      </c>
      <c r="N386" s="64">
        <f>Table13[[#This Row],[Bid Received]]/Table13[[#This Row],[Amount Offered]]</f>
        <v>2.6720000000000002</v>
      </c>
      <c r="AG386" s="78"/>
      <c r="AH386" s="13"/>
      <c r="AN386" s="78"/>
      <c r="AP386" s="77"/>
      <c r="AU386" s="78"/>
      <c r="AV386" s="64"/>
      <c r="AX386" s="78"/>
      <c r="AY386" s="13"/>
    </row>
    <row r="387" spans="1:51" x14ac:dyDescent="0.2">
      <c r="A387" s="53">
        <v>44160</v>
      </c>
      <c r="B387" s="5"/>
      <c r="C387" s="10">
        <v>182</v>
      </c>
      <c r="D387" s="5" t="s">
        <v>20</v>
      </c>
      <c r="E387" s="14">
        <v>13300</v>
      </c>
      <c r="F387" s="14">
        <v>24100</v>
      </c>
      <c r="G387" s="14">
        <v>12050</v>
      </c>
      <c r="H387" s="33">
        <v>4.76</v>
      </c>
      <c r="I387" s="33">
        <v>4.7300000000000004</v>
      </c>
      <c r="J387" s="55">
        <f t="array" ref="J38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44341</v>
      </c>
      <c r="K387" s="59">
        <f>IFERROR(Table13[[#This Row],[Bid Accepted]]*(Table13[[#This Row],[WAYR Current]]%/364*Table13[[#This Row],[Days To Maturity]]),0)</f>
        <v>286.79000000000002</v>
      </c>
      <c r="L387" s="41">
        <f>+Table13[[#This Row],[Bid Accepted]]-Table13[[#This Row],[Amount Offered]]</f>
        <v>-1250</v>
      </c>
      <c r="M387" s="57">
        <f>+IF(Table13[[#This Row],[WAYR Last]]&gt;0,IF(Table13[[#This Row],[WAYR Current]]&gt;0,(Table13[[#This Row],[WAYR Current]]-Table13[[#This Row],[WAYR Last]]),""),"")</f>
        <v>2.9999999999999361E-2</v>
      </c>
      <c r="N387" s="64">
        <f>Table13[[#This Row],[Bid Received]]/Table13[[#This Row],[Amount Offered]]</f>
        <v>1.8120300751879699</v>
      </c>
      <c r="AG387" s="78"/>
      <c r="AH387" s="13"/>
      <c r="AN387" s="78"/>
      <c r="AP387" s="77"/>
      <c r="AU387" s="78"/>
      <c r="AV387" s="64"/>
      <c r="AX387" s="78"/>
      <c r="AY387" s="13"/>
    </row>
    <row r="388" spans="1:51" x14ac:dyDescent="0.2">
      <c r="A388" s="53">
        <v>44160</v>
      </c>
      <c r="B388" s="5"/>
      <c r="C388" s="5">
        <v>364</v>
      </c>
      <c r="D388" s="5" t="s">
        <v>20</v>
      </c>
      <c r="E388" s="14">
        <v>23500</v>
      </c>
      <c r="F388" s="14">
        <v>34689</v>
      </c>
      <c r="G388" s="14">
        <v>20361</v>
      </c>
      <c r="H388" s="33">
        <v>5</v>
      </c>
      <c r="I388" s="33">
        <v>4.9800000000000004</v>
      </c>
      <c r="J388" s="55">
        <f t="array" ref="J38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44525</v>
      </c>
      <c r="K388" s="59">
        <f>IFERROR(Table13[[#This Row],[Bid Accepted]]*(Table13[[#This Row],[WAYR Current]]%/364*Table13[[#This Row],[Days To Maturity]]),0)</f>
        <v>1018.0500000000001</v>
      </c>
      <c r="L388" s="41">
        <f>+Table13[[#This Row],[Bid Accepted]]-Table13[[#This Row],[Amount Offered]]</f>
        <v>-3139</v>
      </c>
      <c r="M388" s="57">
        <f>+IF(Table13[[#This Row],[WAYR Last]]&gt;0,IF(Table13[[#This Row],[WAYR Current]]&gt;0,(Table13[[#This Row],[WAYR Current]]-Table13[[#This Row],[WAYR Last]]),""),"")</f>
        <v>1.9999999999999574E-2</v>
      </c>
      <c r="N388" s="64">
        <f>Table13[[#This Row],[Bid Received]]/Table13[[#This Row],[Amount Offered]]</f>
        <v>1.4761276595744681</v>
      </c>
      <c r="AG388" s="78"/>
      <c r="AH388" s="13"/>
      <c r="AN388" s="78"/>
      <c r="AP388" s="77"/>
      <c r="AU388" s="78"/>
      <c r="AV388" s="64"/>
      <c r="AX388" s="78"/>
      <c r="AY388" s="13"/>
    </row>
    <row r="389" spans="1:51" x14ac:dyDescent="0.2">
      <c r="A389" s="53">
        <v>44167</v>
      </c>
      <c r="B389" s="10"/>
      <c r="C389" s="10">
        <v>91</v>
      </c>
      <c r="D389" s="5" t="s">
        <v>20</v>
      </c>
      <c r="E389" s="14">
        <v>5500</v>
      </c>
      <c r="F389" s="18">
        <v>11400</v>
      </c>
      <c r="G389" s="18">
        <v>7775</v>
      </c>
      <c r="H389" s="37">
        <v>4.6500000000000004</v>
      </c>
      <c r="I389" s="37">
        <v>4.6399999999999997</v>
      </c>
      <c r="J389" s="12">
        <f t="array" ref="J38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44257</v>
      </c>
      <c r="K389" s="59">
        <f>IFERROR(Table13[[#This Row],[Bid Accepted]]*(Table13[[#This Row],[WAYR Current]]%/364*Table13[[#This Row],[Days To Maturity]]),0)</f>
        <v>90.384375000000006</v>
      </c>
      <c r="L389" s="41">
        <f>+Table13[[#This Row],[Bid Accepted]]-Table13[[#This Row],[Amount Offered]]</f>
        <v>2275</v>
      </c>
      <c r="M389" s="57">
        <f>+IF(Table13[[#This Row],[WAYR Last]]&gt;0,IF(Table13[[#This Row],[WAYR Current]]&gt;0,(Table13[[#This Row],[WAYR Current]]-Table13[[#This Row],[WAYR Last]]),""),"")</f>
        <v>1.0000000000000675E-2</v>
      </c>
      <c r="N389" s="64">
        <f>Table13[[#This Row],[Bid Received]]/Table13[[#This Row],[Amount Offered]]</f>
        <v>2.0727272727272728</v>
      </c>
      <c r="AG389" s="78"/>
      <c r="AH389" s="13"/>
      <c r="AN389" s="78"/>
      <c r="AP389" s="77"/>
      <c r="AU389" s="78"/>
      <c r="AV389" s="64"/>
      <c r="AX389" s="78"/>
      <c r="AY389" s="13"/>
    </row>
    <row r="390" spans="1:51" x14ac:dyDescent="0.2">
      <c r="A390" s="53">
        <v>44167</v>
      </c>
      <c r="B390" s="5"/>
      <c r="C390" s="10">
        <v>182</v>
      </c>
      <c r="D390" s="5" t="s">
        <v>20</v>
      </c>
      <c r="E390" s="14">
        <v>12500</v>
      </c>
      <c r="F390" s="14">
        <v>22373</v>
      </c>
      <c r="G390" s="14">
        <v>13248</v>
      </c>
      <c r="H390" s="33">
        <v>4.76</v>
      </c>
      <c r="I390" s="33">
        <v>4.76</v>
      </c>
      <c r="J390" s="55">
        <f t="array" ref="J39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44349</v>
      </c>
      <c r="K390" s="59">
        <f>IFERROR(Table13[[#This Row],[Bid Accepted]]*(Table13[[#This Row],[WAYR Current]]%/364*Table13[[#This Row],[Days To Maturity]]),0)</f>
        <v>315.30240000000003</v>
      </c>
      <c r="L390" s="41">
        <f>+Table13[[#This Row],[Bid Accepted]]-Table13[[#This Row],[Amount Offered]]</f>
        <v>748</v>
      </c>
      <c r="M390" s="57">
        <f>+IF(Table13[[#This Row],[WAYR Last]]&gt;0,IF(Table13[[#This Row],[WAYR Current]]&gt;0,(Table13[[#This Row],[WAYR Current]]-Table13[[#This Row],[WAYR Last]]),""),"")</f>
        <v>0</v>
      </c>
      <c r="N390" s="64">
        <f>Table13[[#This Row],[Bid Received]]/Table13[[#This Row],[Amount Offered]]</f>
        <v>1.7898400000000001</v>
      </c>
      <c r="AG390" s="78"/>
      <c r="AH390" s="13"/>
      <c r="AN390" s="78"/>
      <c r="AP390" s="77"/>
      <c r="AU390" s="78"/>
      <c r="AV390" s="64"/>
      <c r="AX390" s="78"/>
      <c r="AY390" s="13"/>
    </row>
    <row r="391" spans="1:51" x14ac:dyDescent="0.2">
      <c r="A391" s="53">
        <v>44167</v>
      </c>
      <c r="B391" s="5"/>
      <c r="C391" s="5">
        <v>364</v>
      </c>
      <c r="D391" s="5" t="s">
        <v>20</v>
      </c>
      <c r="E391" s="14">
        <v>22000</v>
      </c>
      <c r="F391" s="14">
        <v>28494</v>
      </c>
      <c r="G391" s="14">
        <v>13294</v>
      </c>
      <c r="H391" s="33">
        <v>5</v>
      </c>
      <c r="I391" s="33">
        <v>5</v>
      </c>
      <c r="J391" s="55">
        <f t="array" ref="J39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44532</v>
      </c>
      <c r="K391" s="59">
        <f>IFERROR(Table13[[#This Row],[Bid Accepted]]*(Table13[[#This Row],[WAYR Current]]%/364*Table13[[#This Row],[Days To Maturity]]),0)</f>
        <v>664.7</v>
      </c>
      <c r="L391" s="41">
        <f>+Table13[[#This Row],[Bid Accepted]]-Table13[[#This Row],[Amount Offered]]</f>
        <v>-8706</v>
      </c>
      <c r="M391" s="57">
        <f>+IF(Table13[[#This Row],[WAYR Last]]&gt;0,IF(Table13[[#This Row],[WAYR Current]]&gt;0,(Table13[[#This Row],[WAYR Current]]-Table13[[#This Row],[WAYR Last]]),""),"")</f>
        <v>0</v>
      </c>
      <c r="N391" s="64">
        <f>Table13[[#This Row],[Bid Received]]/Table13[[#This Row],[Amount Offered]]</f>
        <v>1.2951818181818182</v>
      </c>
      <c r="AG391" s="78"/>
      <c r="AH391" s="13"/>
      <c r="AN391" s="78"/>
      <c r="AP391" s="77"/>
      <c r="AU391" s="78"/>
      <c r="AV391" s="64"/>
      <c r="AX391" s="78"/>
      <c r="AY391" s="13"/>
    </row>
    <row r="392" spans="1:51" x14ac:dyDescent="0.2">
      <c r="A392" s="53">
        <v>44174</v>
      </c>
      <c r="B392" s="10"/>
      <c r="C392" s="10">
        <v>91</v>
      </c>
      <c r="D392" s="5" t="s">
        <v>20</v>
      </c>
      <c r="E392" s="14">
        <v>8500</v>
      </c>
      <c r="F392" s="18">
        <v>11980</v>
      </c>
      <c r="G392" s="18">
        <v>6475</v>
      </c>
      <c r="H392" s="37">
        <v>4.67</v>
      </c>
      <c r="I392" s="37">
        <v>4.6500000000000004</v>
      </c>
      <c r="J392" s="12">
        <f t="array" ref="J39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44264</v>
      </c>
      <c r="K392" s="59">
        <f>IFERROR(Table13[[#This Row],[Bid Accepted]]*(Table13[[#This Row],[WAYR Current]]%/364*Table13[[#This Row],[Days To Maturity]]),0)</f>
        <v>75.595624999999998</v>
      </c>
      <c r="L392" s="41">
        <f>+Table13[[#This Row],[Bid Accepted]]-Table13[[#This Row],[Amount Offered]]</f>
        <v>-2025</v>
      </c>
      <c r="M392" s="57">
        <f>+IF(Table13[[#This Row],[WAYR Last]]&gt;0,IF(Table13[[#This Row],[WAYR Current]]&gt;0,(Table13[[#This Row],[WAYR Current]]-Table13[[#This Row],[WAYR Last]]),""),"")</f>
        <v>1.9999999999999574E-2</v>
      </c>
      <c r="N392" s="64">
        <f>Table13[[#This Row],[Bid Received]]/Table13[[#This Row],[Amount Offered]]</f>
        <v>1.4094117647058824</v>
      </c>
      <c r="AG392" s="78"/>
      <c r="AH392" s="13"/>
      <c r="AN392" s="78"/>
      <c r="AP392" s="77"/>
      <c r="AU392" s="78"/>
      <c r="AV392" s="64"/>
      <c r="AX392" s="78"/>
      <c r="AY392" s="13"/>
    </row>
    <row r="393" spans="1:51" x14ac:dyDescent="0.2">
      <c r="A393" s="53">
        <v>44174</v>
      </c>
      <c r="B393" s="10"/>
      <c r="C393" s="10">
        <v>182</v>
      </c>
      <c r="D393" s="5" t="s">
        <v>20</v>
      </c>
      <c r="E393" s="11">
        <v>12500</v>
      </c>
      <c r="F393" s="27">
        <v>13365</v>
      </c>
      <c r="G393" s="27">
        <v>2165</v>
      </c>
      <c r="H393" s="28">
        <v>4.7699999999999996</v>
      </c>
      <c r="I393" s="28">
        <v>4.76</v>
      </c>
      <c r="J393" s="12">
        <f t="array" ref="J39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44356</v>
      </c>
      <c r="K393" s="59">
        <f>IFERROR(Table13[[#This Row],[Bid Accepted]]*(Table13[[#This Row],[WAYR Current]]%/364*Table13[[#This Row],[Days To Maturity]]),0)</f>
        <v>51.635249999999985</v>
      </c>
      <c r="L393" s="41">
        <f>+Table13[[#This Row],[Bid Accepted]]-Table13[[#This Row],[Amount Offered]]</f>
        <v>-10335</v>
      </c>
      <c r="M393" s="57">
        <f>+IF(Table13[[#This Row],[WAYR Last]]&gt;0,IF(Table13[[#This Row],[WAYR Current]]&gt;0,(Table13[[#This Row],[WAYR Current]]-Table13[[#This Row],[WAYR Last]]),""),"")</f>
        <v>9.9999999999997868E-3</v>
      </c>
      <c r="N393" s="64">
        <f>Table13[[#This Row],[Bid Received]]/Table13[[#This Row],[Amount Offered]]</f>
        <v>1.0691999999999999</v>
      </c>
      <c r="AG393" s="78"/>
      <c r="AH393" s="13"/>
      <c r="AN393" s="78"/>
      <c r="AP393" s="77"/>
      <c r="AU393" s="78"/>
      <c r="AV393" s="64"/>
      <c r="AX393" s="78"/>
      <c r="AY393" s="13"/>
    </row>
    <row r="394" spans="1:51" x14ac:dyDescent="0.2">
      <c r="A394" s="53">
        <v>44174</v>
      </c>
      <c r="B394" s="10"/>
      <c r="C394" s="5">
        <v>364</v>
      </c>
      <c r="D394" s="5" t="s">
        <v>20</v>
      </c>
      <c r="E394" s="11">
        <v>19000</v>
      </c>
      <c r="F394" s="27">
        <v>28697</v>
      </c>
      <c r="G394" s="27">
        <v>17252</v>
      </c>
      <c r="H394" s="28">
        <v>5</v>
      </c>
      <c r="I394" s="28">
        <v>5</v>
      </c>
      <c r="J394" s="12">
        <f t="array" ref="J39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44539</v>
      </c>
      <c r="K394" s="59">
        <f>IFERROR(Table13[[#This Row],[Bid Accepted]]*(Table13[[#This Row],[WAYR Current]]%/364*Table13[[#This Row],[Days To Maturity]]),0)</f>
        <v>862.6</v>
      </c>
      <c r="L394" s="41">
        <f>+Table13[[#This Row],[Bid Accepted]]-Table13[[#This Row],[Amount Offered]]</f>
        <v>-1748</v>
      </c>
      <c r="M394" s="57">
        <f>+IF(Table13[[#This Row],[WAYR Last]]&gt;0,IF(Table13[[#This Row],[WAYR Current]]&gt;0,(Table13[[#This Row],[WAYR Current]]-Table13[[#This Row],[WAYR Last]]),""),"")</f>
        <v>0</v>
      </c>
      <c r="N394" s="64">
        <f>Table13[[#This Row],[Bid Received]]/Table13[[#This Row],[Amount Offered]]</f>
        <v>1.5103684210526316</v>
      </c>
      <c r="AG394" s="78"/>
      <c r="AH394" s="13"/>
      <c r="AN394" s="78"/>
      <c r="AP394" s="77"/>
      <c r="AU394" s="78"/>
      <c r="AV394" s="64"/>
      <c r="AX394" s="78"/>
      <c r="AY394" s="13"/>
    </row>
    <row r="395" spans="1:51" x14ac:dyDescent="0.2">
      <c r="A395" s="53">
        <v>44181</v>
      </c>
      <c r="B395" s="10"/>
      <c r="C395" s="10">
        <v>91</v>
      </c>
      <c r="D395" s="5" t="s">
        <v>20</v>
      </c>
      <c r="E395" s="11">
        <v>12000</v>
      </c>
      <c r="F395" s="27">
        <v>15442</v>
      </c>
      <c r="G395" s="27">
        <v>7137</v>
      </c>
      <c r="H395" s="28">
        <v>4.67</v>
      </c>
      <c r="I395" s="28">
        <v>4.67</v>
      </c>
      <c r="J395" s="12">
        <f t="array" ref="J39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44271</v>
      </c>
      <c r="K395" s="59">
        <f>IFERROR(Table13[[#This Row],[Bid Accepted]]*(Table13[[#This Row],[WAYR Current]]%/364*Table13[[#This Row],[Days To Maturity]]),0)</f>
        <v>83.324474999999993</v>
      </c>
      <c r="L395" s="41">
        <f>+Table13[[#This Row],[Bid Accepted]]-Table13[[#This Row],[Amount Offered]]</f>
        <v>-4863</v>
      </c>
      <c r="M395" s="57">
        <f>+IF(Table13[[#This Row],[WAYR Last]]&gt;0,IF(Table13[[#This Row],[WAYR Current]]&gt;0,(Table13[[#This Row],[WAYR Current]]-Table13[[#This Row],[WAYR Last]]),""),"")</f>
        <v>0</v>
      </c>
      <c r="AG395" s="78"/>
      <c r="AH395" s="13"/>
      <c r="AN395" s="78"/>
      <c r="AP395" s="77"/>
      <c r="AU395" s="78"/>
      <c r="AV395" s="64"/>
      <c r="AX395" s="78"/>
      <c r="AY395" s="13"/>
    </row>
    <row r="396" spans="1:51" x14ac:dyDescent="0.2">
      <c r="A396" s="53">
        <v>44181</v>
      </c>
      <c r="B396" s="10"/>
      <c r="C396" s="10">
        <v>182</v>
      </c>
      <c r="D396" s="5" t="s">
        <v>20</v>
      </c>
      <c r="E396" s="11">
        <v>9000</v>
      </c>
      <c r="F396" s="27">
        <v>10565</v>
      </c>
      <c r="G396" s="27">
        <v>2565</v>
      </c>
      <c r="H396" s="28">
        <v>4.78</v>
      </c>
      <c r="I396" s="28">
        <v>4.7699999999999996</v>
      </c>
      <c r="J396" s="12">
        <f t="array" ref="J39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44363</v>
      </c>
      <c r="K396" s="59">
        <f>IFERROR(Table13[[#This Row],[Bid Accepted]]*(Table13[[#This Row],[WAYR Current]]%/364*Table13[[#This Row],[Days To Maturity]]),0)</f>
        <v>61.3035</v>
      </c>
      <c r="L396" s="41">
        <f>+Table13[[#This Row],[Bid Accepted]]-Table13[[#This Row],[Amount Offered]]</f>
        <v>-6435</v>
      </c>
      <c r="M396" s="57">
        <f>+IF(Table13[[#This Row],[WAYR Last]]&gt;0,IF(Table13[[#This Row],[WAYR Current]]&gt;0,(Table13[[#This Row],[WAYR Current]]-Table13[[#This Row],[WAYR Last]]),""),"")</f>
        <v>1.0000000000000675E-2</v>
      </c>
      <c r="AG396" s="78"/>
      <c r="AH396" s="13"/>
      <c r="AN396" s="78"/>
      <c r="AP396" s="77"/>
      <c r="AU396" s="78"/>
      <c r="AV396" s="64"/>
      <c r="AX396" s="78"/>
      <c r="AY396" s="13"/>
    </row>
    <row r="397" spans="1:51" x14ac:dyDescent="0.2">
      <c r="A397" s="53">
        <v>44181</v>
      </c>
      <c r="B397" s="10"/>
      <c r="C397" s="5">
        <v>364</v>
      </c>
      <c r="D397" s="5" t="s">
        <v>20</v>
      </c>
      <c r="E397" s="14">
        <v>19000</v>
      </c>
      <c r="F397" s="18">
        <v>29190</v>
      </c>
      <c r="G397" s="18">
        <v>17140</v>
      </c>
      <c r="H397" s="37">
        <v>5.01</v>
      </c>
      <c r="I397" s="37">
        <v>5</v>
      </c>
      <c r="J397" s="12">
        <f t="array" ref="J39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44546</v>
      </c>
      <c r="K397" s="59">
        <f>IFERROR(Table13[[#This Row],[Bid Accepted]]*(Table13[[#This Row],[WAYR Current]]%/364*Table13[[#This Row],[Days To Maturity]]),0)</f>
        <v>858.71399999999994</v>
      </c>
      <c r="L397" s="41">
        <f>+Table13[[#This Row],[Bid Accepted]]-Table13[[#This Row],[Amount Offered]]</f>
        <v>-1860</v>
      </c>
      <c r="M397" s="57">
        <f>+IF(Table13[[#This Row],[WAYR Last]]&gt;0,IF(Table13[[#This Row],[WAYR Current]]&gt;0,(Table13[[#This Row],[WAYR Current]]-Table13[[#This Row],[WAYR Last]]),""),"")</f>
        <v>9.9999999999997868E-3</v>
      </c>
      <c r="AG397" s="78"/>
      <c r="AH397" s="13"/>
      <c r="AN397" s="78"/>
      <c r="AP397" s="77"/>
      <c r="AU397" s="78"/>
      <c r="AV397" s="64"/>
      <c r="AX397" s="78"/>
      <c r="AY397" s="13"/>
    </row>
    <row r="398" spans="1:51" x14ac:dyDescent="0.2">
      <c r="A398" s="53">
        <v>44187</v>
      </c>
      <c r="B398" s="10"/>
      <c r="C398" s="10">
        <v>91</v>
      </c>
      <c r="D398" s="5" t="s">
        <v>20</v>
      </c>
      <c r="E398" s="14">
        <v>9000</v>
      </c>
      <c r="F398" s="18">
        <v>10289</v>
      </c>
      <c r="G398" s="18">
        <v>2184</v>
      </c>
      <c r="H398" s="37">
        <v>4.67</v>
      </c>
      <c r="I398" s="37">
        <v>4.67</v>
      </c>
      <c r="J398" s="12">
        <f t="array" ref="J39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44277</v>
      </c>
      <c r="K398" s="59">
        <f>IFERROR(Table13[[#This Row],[Bid Accepted]]*(Table13[[#This Row],[WAYR Current]]%/364*Table13[[#This Row],[Days To Maturity]]),0)</f>
        <v>25.498200000000001</v>
      </c>
      <c r="L398" s="41">
        <f>+Table13[[#This Row],[Bid Accepted]]-Table13[[#This Row],[Amount Offered]]</f>
        <v>-6816</v>
      </c>
      <c r="M398" s="57">
        <f>+IF(Table13[[#This Row],[WAYR Last]]&gt;0,IF(Table13[[#This Row],[WAYR Current]]&gt;0,(Table13[[#This Row],[WAYR Current]]-Table13[[#This Row],[WAYR Last]]),""),"")</f>
        <v>0</v>
      </c>
      <c r="AG398" s="78"/>
      <c r="AH398" s="13"/>
      <c r="AN398" s="78"/>
      <c r="AP398" s="77"/>
      <c r="AU398" s="78"/>
      <c r="AV398" s="64"/>
      <c r="AX398" s="78"/>
      <c r="AY398" s="13"/>
    </row>
    <row r="399" spans="1:51" x14ac:dyDescent="0.2">
      <c r="A399" s="53">
        <v>44187</v>
      </c>
      <c r="B399" s="10"/>
      <c r="C399" s="10">
        <v>182</v>
      </c>
      <c r="D399" s="5" t="s">
        <v>20</v>
      </c>
      <c r="E399" s="11">
        <v>12000</v>
      </c>
      <c r="F399" s="27">
        <v>22600</v>
      </c>
      <c r="G399" s="27">
        <v>13000</v>
      </c>
      <c r="H399" s="28">
        <v>4.78</v>
      </c>
      <c r="I399" s="28">
        <v>4.78</v>
      </c>
      <c r="J399" s="12">
        <f t="array" ref="J39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44369</v>
      </c>
      <c r="K399" s="59">
        <f>IFERROR(Table13[[#This Row],[Bid Accepted]]*(Table13[[#This Row],[WAYR Current]]%/364*Table13[[#This Row],[Days To Maturity]]),0)</f>
        <v>310.7</v>
      </c>
      <c r="L399" s="41">
        <f>+Table13[[#This Row],[Bid Accepted]]-Table13[[#This Row],[Amount Offered]]</f>
        <v>1000</v>
      </c>
      <c r="M399" s="57">
        <f>+IF(Table13[[#This Row],[WAYR Last]]&gt;0,IF(Table13[[#This Row],[WAYR Current]]&gt;0,(Table13[[#This Row],[WAYR Current]]-Table13[[#This Row],[WAYR Last]]),""),"")</f>
        <v>0</v>
      </c>
      <c r="AG399" s="78"/>
      <c r="AH399" s="13"/>
      <c r="AN399" s="78"/>
      <c r="AP399" s="77"/>
      <c r="AU399" s="78"/>
      <c r="AV399" s="64"/>
      <c r="AX399" s="78"/>
      <c r="AY399" s="13"/>
    </row>
    <row r="400" spans="1:51" x14ac:dyDescent="0.2">
      <c r="A400" s="53">
        <v>44187</v>
      </c>
      <c r="B400" s="10"/>
      <c r="C400" s="5">
        <v>364</v>
      </c>
      <c r="D400" s="5" t="s">
        <v>20</v>
      </c>
      <c r="E400" s="11">
        <v>19000</v>
      </c>
      <c r="F400" s="27">
        <v>23284</v>
      </c>
      <c r="G400" s="27">
        <v>5534</v>
      </c>
      <c r="H400" s="28">
        <v>5.03</v>
      </c>
      <c r="I400" s="28">
        <v>5.01</v>
      </c>
      <c r="J400" s="12">
        <f t="array" ref="J40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44552</v>
      </c>
      <c r="K400" s="59">
        <f>IFERROR(Table13[[#This Row],[Bid Accepted]]*(Table13[[#This Row],[WAYR Current]]%/364*Table13[[#This Row],[Days To Maturity]]),0)</f>
        <v>278.36020000000008</v>
      </c>
      <c r="L400" s="41">
        <f>+Table13[[#This Row],[Bid Accepted]]-Table13[[#This Row],[Amount Offered]]</f>
        <v>-13466</v>
      </c>
      <c r="M400" s="57">
        <f>+IF(Table13[[#This Row],[WAYR Last]]&gt;0,IF(Table13[[#This Row],[WAYR Current]]&gt;0,(Table13[[#This Row],[WAYR Current]]-Table13[[#This Row],[WAYR Last]]),""),"")</f>
        <v>2.0000000000000462E-2</v>
      </c>
      <c r="AG400" s="78"/>
      <c r="AH400" s="13"/>
      <c r="AN400" s="78"/>
      <c r="AP400" s="77"/>
      <c r="AU400" s="78"/>
      <c r="AV400" s="64"/>
      <c r="AX400" s="78"/>
      <c r="AY400" s="13"/>
    </row>
    <row r="401" spans="1:51" x14ac:dyDescent="0.2">
      <c r="A401" s="53">
        <v>44195</v>
      </c>
      <c r="B401" s="10"/>
      <c r="C401" s="10">
        <v>91</v>
      </c>
      <c r="D401" s="5" t="s">
        <v>20</v>
      </c>
      <c r="E401" s="14">
        <v>10000</v>
      </c>
      <c r="F401" s="18">
        <v>10015</v>
      </c>
      <c r="G401" s="18">
        <v>510</v>
      </c>
      <c r="H401" s="37">
        <v>4.6900000000000004</v>
      </c>
      <c r="I401" s="37">
        <v>4.67</v>
      </c>
      <c r="J401" s="12">
        <f t="array" ref="J40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44285</v>
      </c>
      <c r="K401" s="59">
        <f>IFERROR(Table13[[#This Row],[Bid Accepted]]*(Table13[[#This Row],[WAYR Current]]%/364*Table13[[#This Row],[Days To Maturity]]),0)</f>
        <v>5.979750000000001</v>
      </c>
      <c r="L401" s="41">
        <f>+Table13[[#This Row],[Bid Accepted]]-Table13[[#This Row],[Amount Offered]]</f>
        <v>-9490</v>
      </c>
      <c r="M401" s="57">
        <f>+IF(Table13[[#This Row],[WAYR Last]]&gt;0,IF(Table13[[#This Row],[WAYR Current]]&gt;0,(Table13[[#This Row],[WAYR Current]]-Table13[[#This Row],[WAYR Last]]),""),"")</f>
        <v>2.0000000000000462E-2</v>
      </c>
      <c r="AG401" s="78"/>
      <c r="AH401" s="13"/>
      <c r="AN401" s="78"/>
      <c r="AP401" s="77"/>
      <c r="AU401" s="78"/>
      <c r="AV401" s="64"/>
      <c r="AX401" s="78"/>
      <c r="AY401" s="13"/>
    </row>
    <row r="402" spans="1:51" x14ac:dyDescent="0.2">
      <c r="A402" s="53">
        <v>44195</v>
      </c>
      <c r="B402" s="10"/>
      <c r="C402" s="10">
        <v>182</v>
      </c>
      <c r="D402" s="5" t="s">
        <v>20</v>
      </c>
      <c r="E402" s="14">
        <v>11000</v>
      </c>
      <c r="F402" s="18">
        <v>17083</v>
      </c>
      <c r="G402" s="18">
        <v>9783</v>
      </c>
      <c r="H402" s="37">
        <v>4.8</v>
      </c>
      <c r="I402" s="37">
        <v>4.78</v>
      </c>
      <c r="J402" s="12">
        <f t="array" ref="J40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44377</v>
      </c>
      <c r="K402" s="59">
        <f>IFERROR(Table13[[#This Row],[Bid Accepted]]*(Table13[[#This Row],[WAYR Current]]%/364*Table13[[#This Row],[Days To Maturity]]),0)</f>
        <v>234.79200000000003</v>
      </c>
      <c r="L402" s="41">
        <f>+Table13[[#This Row],[Bid Accepted]]-Table13[[#This Row],[Amount Offered]]</f>
        <v>-1217</v>
      </c>
      <c r="M402" s="57">
        <f>+IF(Table13[[#This Row],[WAYR Last]]&gt;0,IF(Table13[[#This Row],[WAYR Current]]&gt;0,(Table13[[#This Row],[WAYR Current]]-Table13[[#This Row],[WAYR Last]]),""),"")</f>
        <v>1.9999999999999574E-2</v>
      </c>
      <c r="AG402" s="78"/>
      <c r="AH402" s="13"/>
      <c r="AN402" s="78"/>
      <c r="AP402" s="77"/>
      <c r="AU402" s="78"/>
      <c r="AV402" s="64"/>
      <c r="AX402" s="78"/>
      <c r="AY402" s="13"/>
    </row>
    <row r="403" spans="1:51" x14ac:dyDescent="0.2">
      <c r="A403" s="53">
        <v>44195</v>
      </c>
      <c r="B403" s="10"/>
      <c r="C403" s="5">
        <v>364</v>
      </c>
      <c r="D403" s="5" t="s">
        <v>20</v>
      </c>
      <c r="E403" s="14">
        <v>19000</v>
      </c>
      <c r="F403" s="18">
        <v>26226</v>
      </c>
      <c r="G403" s="18">
        <v>8476</v>
      </c>
      <c r="H403" s="37">
        <v>5.05</v>
      </c>
      <c r="I403" s="37">
        <v>5.03</v>
      </c>
      <c r="J403" s="12">
        <f t="array" ref="J40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44560</v>
      </c>
      <c r="K403" s="59">
        <f>IFERROR(Table13[[#This Row],[Bid Accepted]]*(Table13[[#This Row],[WAYR Current]]%/364*Table13[[#This Row],[Days To Maturity]]),0)</f>
        <v>428.03800000000001</v>
      </c>
      <c r="L403" s="41">
        <f>+Table13[[#This Row],[Bid Accepted]]-Table13[[#This Row],[Amount Offered]]</f>
        <v>-10524</v>
      </c>
      <c r="M403" s="57">
        <f>+IF(Table13[[#This Row],[WAYR Last]]&gt;0,IF(Table13[[#This Row],[WAYR Current]]&gt;0,(Table13[[#This Row],[WAYR Current]]-Table13[[#This Row],[WAYR Last]]),""),"")</f>
        <v>1.9999999999999574E-2</v>
      </c>
      <c r="AG403" s="78"/>
      <c r="AH403" s="13"/>
      <c r="AN403" s="78"/>
      <c r="AP403" s="77"/>
      <c r="AU403" s="78"/>
      <c r="AV403" s="64"/>
      <c r="AX403" s="78"/>
      <c r="AY403" s="13"/>
    </row>
    <row r="404" spans="1:51" x14ac:dyDescent="0.2">
      <c r="A404" s="53">
        <v>44202</v>
      </c>
      <c r="B404" s="10"/>
      <c r="C404" s="10">
        <v>91</v>
      </c>
      <c r="D404" s="5" t="s">
        <v>20</v>
      </c>
      <c r="E404" s="14">
        <v>10000</v>
      </c>
      <c r="F404" s="18">
        <v>21302</v>
      </c>
      <c r="G404" s="18">
        <v>10000</v>
      </c>
      <c r="H404" s="37">
        <v>4.71</v>
      </c>
      <c r="I404" s="37">
        <v>4.6900000000000004</v>
      </c>
      <c r="J404" s="12">
        <f t="array" ref="J40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44292</v>
      </c>
      <c r="K404" s="59">
        <f>IFERROR(Table13[[#This Row],[Bid Accepted]]*(Table13[[#This Row],[WAYR Current]]%/364*Table13[[#This Row],[Days To Maturity]]),0)</f>
        <v>117.75000000000001</v>
      </c>
      <c r="L404" s="41">
        <f>+Table13[[#This Row],[Bid Accepted]]-Table13[[#This Row],[Amount Offered]]</f>
        <v>0</v>
      </c>
      <c r="M404" s="57">
        <f>+IF(Table13[[#This Row],[WAYR Last]]&gt;0,IF(Table13[[#This Row],[WAYR Current]]&gt;0,(Table13[[#This Row],[WAYR Current]]-Table13[[#This Row],[WAYR Last]]),""),"")</f>
        <v>1.9999999999999574E-2</v>
      </c>
      <c r="AG404" s="78"/>
      <c r="AH404" s="13"/>
      <c r="AN404" s="78"/>
      <c r="AP404" s="77"/>
      <c r="AU404" s="78"/>
      <c r="AV404" s="64"/>
      <c r="AX404" s="78"/>
      <c r="AY404" s="13"/>
    </row>
    <row r="405" spans="1:51" x14ac:dyDescent="0.2">
      <c r="A405" s="53">
        <v>44202</v>
      </c>
      <c r="B405" s="10"/>
      <c r="C405" s="10">
        <v>182</v>
      </c>
      <c r="D405" s="5" t="s">
        <v>20</v>
      </c>
      <c r="E405" s="14">
        <v>5000</v>
      </c>
      <c r="F405" s="18">
        <v>25304</v>
      </c>
      <c r="G405" s="18">
        <v>5000</v>
      </c>
      <c r="H405" s="37">
        <v>4.8</v>
      </c>
      <c r="I405" s="37">
        <v>4.8</v>
      </c>
      <c r="J405" s="12">
        <f t="array" ref="J40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44383</v>
      </c>
      <c r="K405" s="59">
        <f>IFERROR(Table13[[#This Row],[Bid Accepted]]*(Table13[[#This Row],[WAYR Current]]%/364*Table13[[#This Row],[Days To Maturity]]),0)</f>
        <v>120.00000000000001</v>
      </c>
      <c r="L405" s="41">
        <f>+Table13[[#This Row],[Bid Accepted]]-Table13[[#This Row],[Amount Offered]]</f>
        <v>0</v>
      </c>
      <c r="M405" s="57">
        <f>+IF(Table13[[#This Row],[WAYR Last]]&gt;0,IF(Table13[[#This Row],[WAYR Current]]&gt;0,(Table13[[#This Row],[WAYR Current]]-Table13[[#This Row],[WAYR Last]]),""),"")</f>
        <v>0</v>
      </c>
      <c r="AG405" s="78"/>
      <c r="AH405" s="13"/>
      <c r="AN405" s="78"/>
      <c r="AP405" s="77"/>
      <c r="AU405" s="78"/>
      <c r="AV405" s="64"/>
      <c r="AX405" s="78"/>
      <c r="AY405" s="13"/>
    </row>
    <row r="406" spans="1:51" x14ac:dyDescent="0.2">
      <c r="A406" s="53">
        <v>44202</v>
      </c>
      <c r="B406" s="10"/>
      <c r="C406" s="5">
        <v>364</v>
      </c>
      <c r="D406" s="5" t="s">
        <v>20</v>
      </c>
      <c r="E406" s="14">
        <v>25000</v>
      </c>
      <c r="F406" s="18">
        <v>39718</v>
      </c>
      <c r="G406" s="18">
        <v>25000</v>
      </c>
      <c r="H406" s="37">
        <v>5.05</v>
      </c>
      <c r="I406" s="37">
        <v>5.05</v>
      </c>
      <c r="J406" s="12">
        <f t="array" ref="J40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44567</v>
      </c>
      <c r="K406" s="59">
        <f>IFERROR(Table13[[#This Row],[Bid Accepted]]*(Table13[[#This Row],[WAYR Current]]%/364*Table13[[#This Row],[Days To Maturity]]),0)</f>
        <v>1262.5</v>
      </c>
      <c r="L406" s="41">
        <f>+Table13[[#This Row],[Bid Accepted]]-Table13[[#This Row],[Amount Offered]]</f>
        <v>0</v>
      </c>
      <c r="M406" s="57">
        <f>+IF(Table13[[#This Row],[WAYR Last]]&gt;0,IF(Table13[[#This Row],[WAYR Current]]&gt;0,(Table13[[#This Row],[WAYR Current]]-Table13[[#This Row],[WAYR Last]]),""),"")</f>
        <v>0</v>
      </c>
      <c r="AG406" s="78"/>
      <c r="AH406" s="13"/>
      <c r="AN406" s="78"/>
      <c r="AP406" s="77"/>
      <c r="AU406" s="78"/>
      <c r="AV406" s="64"/>
      <c r="AX406" s="78"/>
      <c r="AY406" s="13"/>
    </row>
    <row r="407" spans="1:51" x14ac:dyDescent="0.2">
      <c r="A407" s="9">
        <v>44208</v>
      </c>
      <c r="B407" s="10"/>
      <c r="C407" s="10">
        <v>91</v>
      </c>
      <c r="D407" s="5" t="s">
        <v>20</v>
      </c>
      <c r="E407" s="14">
        <v>12500</v>
      </c>
      <c r="F407" s="18">
        <v>23902</v>
      </c>
      <c r="G407" s="18">
        <v>12500</v>
      </c>
      <c r="H407" s="37">
        <v>4.7</v>
      </c>
      <c r="I407" s="37">
        <v>4.71</v>
      </c>
      <c r="J407" s="12">
        <f t="array" ref="J40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44298</v>
      </c>
      <c r="K407" s="59">
        <f>IFERROR(Table13[[#This Row],[Bid Accepted]]*(Table13[[#This Row],[WAYR Current]]%/364*Table13[[#This Row],[Days To Maturity]]),0)</f>
        <v>146.87500000000003</v>
      </c>
      <c r="L407" s="41">
        <f>+Table13[[#This Row],[Bid Accepted]]-Table13[[#This Row],[Amount Offered]]</f>
        <v>0</v>
      </c>
      <c r="M407" s="57">
        <f>+IF(Table13[[#This Row],[WAYR Last]]&gt;0,IF(Table13[[#This Row],[WAYR Current]]&gt;0,(Table13[[#This Row],[WAYR Current]]-Table13[[#This Row],[WAYR Last]]),""),"")</f>
        <v>-9.9999999999997868E-3</v>
      </c>
      <c r="AG407" s="78"/>
      <c r="AH407" s="13"/>
      <c r="AN407" s="78"/>
      <c r="AP407" s="77"/>
      <c r="AU407" s="78"/>
      <c r="AV407" s="64"/>
      <c r="AX407" s="78"/>
      <c r="AY407" s="13"/>
    </row>
    <row r="408" spans="1:51" x14ac:dyDescent="0.2">
      <c r="A408" s="9">
        <v>44208</v>
      </c>
      <c r="B408" s="10"/>
      <c r="C408" s="10">
        <v>182</v>
      </c>
      <c r="D408" s="5" t="s">
        <v>20</v>
      </c>
      <c r="E408" s="14">
        <v>5000</v>
      </c>
      <c r="F408" s="18">
        <v>19194</v>
      </c>
      <c r="G408" s="18">
        <v>5000</v>
      </c>
      <c r="H408" s="37">
        <v>4.78</v>
      </c>
      <c r="I408" s="37">
        <v>4.8</v>
      </c>
      <c r="J408" s="12">
        <f t="array" ref="J40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44389</v>
      </c>
      <c r="K408" s="59">
        <f>IFERROR(Table13[[#This Row],[Bid Accepted]]*(Table13[[#This Row],[WAYR Current]]%/364*Table13[[#This Row],[Days To Maturity]]),0)</f>
        <v>119.5</v>
      </c>
      <c r="L408" s="41">
        <f>+Table13[[#This Row],[Bid Accepted]]-Table13[[#This Row],[Amount Offered]]</f>
        <v>0</v>
      </c>
      <c r="M408" s="57">
        <f>+IF(Table13[[#This Row],[WAYR Last]]&gt;0,IF(Table13[[#This Row],[WAYR Current]]&gt;0,(Table13[[#This Row],[WAYR Current]]-Table13[[#This Row],[WAYR Last]]),""),"")</f>
        <v>-1.9999999999999574E-2</v>
      </c>
      <c r="AG408" s="78"/>
      <c r="AH408" s="13"/>
      <c r="AN408" s="78"/>
      <c r="AP408" s="77"/>
      <c r="AU408" s="78"/>
      <c r="AV408" s="64"/>
      <c r="AX408" s="78"/>
      <c r="AY408" s="13"/>
    </row>
    <row r="409" spans="1:51" x14ac:dyDescent="0.2">
      <c r="A409" s="9">
        <v>44208</v>
      </c>
      <c r="B409" s="10"/>
      <c r="C409" s="5">
        <v>364</v>
      </c>
      <c r="D409" s="5" t="s">
        <v>20</v>
      </c>
      <c r="E409" s="14">
        <v>22500</v>
      </c>
      <c r="F409" s="18">
        <v>63900</v>
      </c>
      <c r="G409" s="18">
        <v>22500</v>
      </c>
      <c r="H409" s="37">
        <v>5.0199999999999996</v>
      </c>
      <c r="I409" s="37">
        <v>5.05</v>
      </c>
      <c r="J409" s="12">
        <f t="array" ref="J40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44573</v>
      </c>
      <c r="K409" s="59">
        <f>IFERROR(Table13[[#This Row],[Bid Accepted]]*(Table13[[#This Row],[WAYR Current]]%/364*Table13[[#This Row],[Days To Maturity]]),0)</f>
        <v>1129.4999999999998</v>
      </c>
      <c r="L409" s="41">
        <f>+Table13[[#This Row],[Bid Accepted]]-Table13[[#This Row],[Amount Offered]]</f>
        <v>0</v>
      </c>
      <c r="M409" s="57">
        <f>+IF(Table13[[#This Row],[WAYR Last]]&gt;0,IF(Table13[[#This Row],[WAYR Current]]&gt;0,(Table13[[#This Row],[WAYR Current]]-Table13[[#This Row],[WAYR Last]]),""),"")</f>
        <v>-3.0000000000000249E-2</v>
      </c>
      <c r="AG409" s="78"/>
      <c r="AH409" s="13"/>
      <c r="AN409" s="78"/>
      <c r="AP409" s="77"/>
      <c r="AU409" s="78"/>
      <c r="AV409" s="64"/>
      <c r="AX409" s="78"/>
      <c r="AY409" s="13"/>
    </row>
    <row r="410" spans="1:51" x14ac:dyDescent="0.2">
      <c r="A410" s="9">
        <v>44216</v>
      </c>
      <c r="B410" s="10"/>
      <c r="C410" s="10">
        <v>91</v>
      </c>
      <c r="D410" s="5" t="s">
        <v>20</v>
      </c>
      <c r="E410" s="14">
        <v>12000</v>
      </c>
      <c r="F410" s="18">
        <v>25934</v>
      </c>
      <c r="G410" s="18">
        <v>12000</v>
      </c>
      <c r="H410" s="37">
        <v>4.7</v>
      </c>
      <c r="I410" s="37">
        <v>4.7</v>
      </c>
      <c r="J410" s="12">
        <f t="array" ref="J41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44306</v>
      </c>
      <c r="K410" s="66">
        <f>IFERROR(Table13[[#This Row],[Bid Accepted]]*(Table13[[#This Row],[WAYR Current]]%/364*Table13[[#This Row],[Days To Maturity]]),0)</f>
        <v>141.00000000000003</v>
      </c>
      <c r="L410" s="41">
        <f>+Table13[[#This Row],[Bid Accepted]]-Table13[[#This Row],[Amount Offered]]</f>
        <v>0</v>
      </c>
      <c r="M410" s="57">
        <f>+IF(Table13[[#This Row],[WAYR Last]]&gt;0,IF(Table13[[#This Row],[WAYR Current]]&gt;0,(Table13[[#This Row],[WAYR Current]]-Table13[[#This Row],[WAYR Last]]),""),"")</f>
        <v>0</v>
      </c>
      <c r="AG410" s="78"/>
      <c r="AH410" s="13"/>
      <c r="AN410" s="78"/>
      <c r="AP410" s="77"/>
      <c r="AU410" s="78"/>
      <c r="AV410" s="64"/>
      <c r="AX410" s="78"/>
      <c r="AY410" s="13"/>
    </row>
    <row r="411" spans="1:51" x14ac:dyDescent="0.2">
      <c r="A411" s="9">
        <v>44216</v>
      </c>
      <c r="B411" s="10"/>
      <c r="C411" s="10">
        <v>182</v>
      </c>
      <c r="D411" s="5" t="s">
        <v>20</v>
      </c>
      <c r="E411" s="14">
        <v>5000</v>
      </c>
      <c r="F411" s="18">
        <v>16599</v>
      </c>
      <c r="G411" s="18">
        <v>5000</v>
      </c>
      <c r="H411" s="37">
        <v>4.7699999999999996</v>
      </c>
      <c r="I411" s="37">
        <v>4.78</v>
      </c>
      <c r="J411" s="12">
        <f t="array" ref="J41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44397</v>
      </c>
      <c r="K411" s="66">
        <f>IFERROR(Table13[[#This Row],[Bid Accepted]]*(Table13[[#This Row],[WAYR Current]]%/364*Table13[[#This Row],[Days To Maturity]]),0)</f>
        <v>119.24999999999996</v>
      </c>
      <c r="L411" s="41">
        <f>+Table13[[#This Row],[Bid Accepted]]-Table13[[#This Row],[Amount Offered]]</f>
        <v>0</v>
      </c>
      <c r="M411" s="57">
        <f>+IF(Table13[[#This Row],[WAYR Last]]&gt;0,IF(Table13[[#This Row],[WAYR Current]]&gt;0,(Table13[[#This Row],[WAYR Current]]-Table13[[#This Row],[WAYR Last]]),""),"")</f>
        <v>-1.0000000000000675E-2</v>
      </c>
      <c r="AG411" s="78"/>
      <c r="AH411" s="13"/>
      <c r="AN411" s="78"/>
      <c r="AP411" s="77"/>
      <c r="AU411" s="78"/>
      <c r="AV411" s="64"/>
      <c r="AX411" s="78"/>
      <c r="AY411" s="13"/>
    </row>
    <row r="412" spans="1:51" x14ac:dyDescent="0.2">
      <c r="A412" s="9">
        <v>44216</v>
      </c>
      <c r="B412" s="10"/>
      <c r="C412" s="5">
        <v>364</v>
      </c>
      <c r="D412" s="5" t="s">
        <v>20</v>
      </c>
      <c r="E412" s="14">
        <v>23000</v>
      </c>
      <c r="F412" s="18">
        <v>44700</v>
      </c>
      <c r="G412" s="18">
        <v>23000</v>
      </c>
      <c r="H412" s="37">
        <v>4.99</v>
      </c>
      <c r="I412" s="37">
        <v>5.0199999999999996</v>
      </c>
      <c r="J412" s="12">
        <f t="array" ref="J41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44581</v>
      </c>
      <c r="K412" s="59">
        <f>IFERROR(Table13[[#This Row],[Bid Accepted]]*(Table13[[#This Row],[WAYR Current]]%/364*Table13[[#This Row],[Days To Maturity]]),0)</f>
        <v>1147.7</v>
      </c>
      <c r="L412" s="41">
        <f>+Table13[[#This Row],[Bid Accepted]]-Table13[[#This Row],[Amount Offered]]</f>
        <v>0</v>
      </c>
      <c r="M412" s="57">
        <f>+IF(Table13[[#This Row],[WAYR Last]]&gt;0,IF(Table13[[#This Row],[WAYR Current]]&gt;0,(Table13[[#This Row],[WAYR Current]]-Table13[[#This Row],[WAYR Last]]),""),"")</f>
        <v>-2.9999999999999361E-2</v>
      </c>
      <c r="AG412" s="78"/>
      <c r="AH412" s="13"/>
      <c r="AN412" s="78"/>
      <c r="AP412" s="77"/>
      <c r="AU412" s="78"/>
      <c r="AV412" s="64"/>
      <c r="AX412" s="78"/>
      <c r="AY412" s="13"/>
    </row>
    <row r="413" spans="1:51" x14ac:dyDescent="0.2">
      <c r="A413" s="9">
        <v>44222</v>
      </c>
      <c r="B413" s="10"/>
      <c r="C413" s="10">
        <v>91</v>
      </c>
      <c r="D413" s="5" t="s">
        <v>20</v>
      </c>
      <c r="E413" s="14">
        <v>11000</v>
      </c>
      <c r="F413" s="18">
        <v>14155</v>
      </c>
      <c r="G413" s="18">
        <v>5850</v>
      </c>
      <c r="H413" s="37">
        <v>4.6900000000000004</v>
      </c>
      <c r="I413" s="37">
        <v>4.7</v>
      </c>
      <c r="J413" s="12">
        <f t="array" ref="J41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44312</v>
      </c>
      <c r="K413" s="59">
        <f>IFERROR(Table13[[#This Row],[Bid Accepted]]*(Table13[[#This Row],[WAYR Current]]%/364*Table13[[#This Row],[Days To Maturity]]),0)</f>
        <v>68.591250000000016</v>
      </c>
      <c r="L413" s="41">
        <f>+Table13[[#This Row],[Bid Accepted]]-Table13[[#This Row],[Amount Offered]]</f>
        <v>-5150</v>
      </c>
      <c r="M413" s="57">
        <f>+IF(Table13[[#This Row],[WAYR Last]]&gt;0,IF(Table13[[#This Row],[WAYR Current]]&gt;0,(Table13[[#This Row],[WAYR Current]]-Table13[[#This Row],[WAYR Last]]),""),"")</f>
        <v>-9.9999999999997868E-3</v>
      </c>
      <c r="AG413" s="78"/>
      <c r="AH413" s="13"/>
      <c r="AN413" s="78"/>
      <c r="AP413" s="77"/>
      <c r="AU413" s="78"/>
      <c r="AV413" s="64"/>
      <c r="AX413" s="78"/>
      <c r="AY413" s="13"/>
    </row>
    <row r="414" spans="1:51" x14ac:dyDescent="0.2">
      <c r="A414" s="9">
        <v>44222</v>
      </c>
      <c r="B414" s="10"/>
      <c r="C414" s="10">
        <v>182</v>
      </c>
      <c r="D414" s="5" t="s">
        <v>20</v>
      </c>
      <c r="E414" s="14">
        <v>4000</v>
      </c>
      <c r="F414" s="18">
        <v>7876</v>
      </c>
      <c r="G414" s="18">
        <v>5091</v>
      </c>
      <c r="H414" s="37">
        <v>4.75</v>
      </c>
      <c r="I414" s="37">
        <v>4.7699999999999996</v>
      </c>
      <c r="J414" s="12">
        <f t="array" ref="J41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44403</v>
      </c>
      <c r="K414" s="59">
        <f>IFERROR(Table13[[#This Row],[Bid Accepted]]*(Table13[[#This Row],[WAYR Current]]%/364*Table13[[#This Row],[Days To Maturity]]),0)</f>
        <v>120.91125000000002</v>
      </c>
      <c r="L414" s="41">
        <f>+Table13[[#This Row],[Bid Accepted]]-Table13[[#This Row],[Amount Offered]]</f>
        <v>1091</v>
      </c>
      <c r="M414" s="57">
        <f>+IF(Table13[[#This Row],[WAYR Last]]&gt;0,IF(Table13[[#This Row],[WAYR Current]]&gt;0,(Table13[[#This Row],[WAYR Current]]-Table13[[#This Row],[WAYR Last]]),""),"")</f>
        <v>-1.9999999999999574E-2</v>
      </c>
      <c r="AG414" s="78"/>
      <c r="AH414" s="13"/>
      <c r="AN414" s="78"/>
      <c r="AP414" s="77"/>
      <c r="AU414" s="78"/>
      <c r="AV414" s="64"/>
      <c r="AX414" s="78"/>
      <c r="AY414" s="13"/>
    </row>
    <row r="415" spans="1:51" x14ac:dyDescent="0.2">
      <c r="A415" s="9">
        <v>44222</v>
      </c>
      <c r="B415" s="10"/>
      <c r="C415" s="5">
        <v>364</v>
      </c>
      <c r="D415" s="5" t="s">
        <v>20</v>
      </c>
      <c r="E415" s="14">
        <v>25000</v>
      </c>
      <c r="F415" s="18">
        <v>31263</v>
      </c>
      <c r="G415" s="18">
        <v>14063</v>
      </c>
      <c r="H415" s="37">
        <v>4.9800000000000004</v>
      </c>
      <c r="I415" s="37">
        <v>4.99</v>
      </c>
      <c r="J415" s="12">
        <f t="array" ref="J41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44587</v>
      </c>
      <c r="K415" s="59">
        <f>IFERROR(Table13[[#This Row],[Bid Accepted]]*(Table13[[#This Row],[WAYR Current]]%/364*Table13[[#This Row],[Days To Maturity]]),0)</f>
        <v>700.33740000000012</v>
      </c>
      <c r="L415" s="41">
        <f>+Table13[[#This Row],[Bid Accepted]]-Table13[[#This Row],[Amount Offered]]</f>
        <v>-10937</v>
      </c>
      <c r="M415" s="57">
        <f>+IF(Table13[[#This Row],[WAYR Last]]&gt;0,IF(Table13[[#This Row],[WAYR Current]]&gt;0,(Table13[[#This Row],[WAYR Current]]-Table13[[#This Row],[WAYR Last]]),""),"")</f>
        <v>-9.9999999999997868E-3</v>
      </c>
      <c r="AG415" s="78"/>
      <c r="AH415" s="13"/>
      <c r="AN415" s="78"/>
      <c r="AP415" s="77"/>
      <c r="AU415" s="78"/>
      <c r="AV415" s="64"/>
      <c r="AX415" s="78"/>
      <c r="AY415" s="13"/>
    </row>
    <row r="416" spans="1:51" x14ac:dyDescent="0.2">
      <c r="A416" s="9">
        <v>44229</v>
      </c>
      <c r="B416" s="10"/>
      <c r="C416" s="10">
        <v>91</v>
      </c>
      <c r="D416" s="5" t="s">
        <v>20</v>
      </c>
      <c r="E416" s="14">
        <v>8000</v>
      </c>
      <c r="F416" s="18">
        <v>11745</v>
      </c>
      <c r="G416" s="18">
        <v>5695</v>
      </c>
      <c r="H416" s="37">
        <v>4.7</v>
      </c>
      <c r="I416" s="37">
        <v>4.6900000000000004</v>
      </c>
      <c r="J416" s="12">
        <f t="array" ref="J41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44318</v>
      </c>
      <c r="K416" s="66">
        <f>IFERROR(Table13[[#This Row],[Bid Accepted]]*(Table13[[#This Row],[WAYR Current]]%/364*Table13[[#This Row],[Days To Maturity]]),0)</f>
        <v>66.916250000000005</v>
      </c>
      <c r="L416" s="41">
        <f>+Table13[[#This Row],[Bid Accepted]]-Table13[[#This Row],[Amount Offered]]</f>
        <v>-2305</v>
      </c>
      <c r="M416" s="57">
        <f>+IF(Table13[[#This Row],[WAYR Last]]&gt;0,IF(Table13[[#This Row],[WAYR Current]]&gt;0,(Table13[[#This Row],[WAYR Current]]-Table13[[#This Row],[WAYR Last]]),""),"")</f>
        <v>9.9999999999997868E-3</v>
      </c>
      <c r="AG416" s="78"/>
      <c r="AH416" s="13"/>
      <c r="AN416" s="78"/>
      <c r="AP416" s="77"/>
      <c r="AU416" s="78"/>
      <c r="AV416" s="64"/>
      <c r="AX416" s="78"/>
      <c r="AY416" s="13"/>
    </row>
    <row r="417" spans="1:51" x14ac:dyDescent="0.2">
      <c r="A417" s="53">
        <v>44229</v>
      </c>
      <c r="B417" s="10"/>
      <c r="C417" s="10">
        <v>182</v>
      </c>
      <c r="D417" s="5" t="s">
        <v>20</v>
      </c>
      <c r="E417" s="14">
        <v>4000</v>
      </c>
      <c r="F417" s="18">
        <v>4000</v>
      </c>
      <c r="G417" s="18">
        <v>310</v>
      </c>
      <c r="H417" s="37">
        <v>4.78</v>
      </c>
      <c r="I417" s="37">
        <v>4.75</v>
      </c>
      <c r="J417" s="12">
        <f t="array" ref="J41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44410</v>
      </c>
      <c r="K417" s="59">
        <f>IFERROR(Table13[[#This Row],[Bid Accepted]]*(Table13[[#This Row],[WAYR Current]]%/364*Table13[[#This Row],[Days To Maturity]]),0)</f>
        <v>7.4090000000000007</v>
      </c>
      <c r="L417" s="41">
        <f>+Table13[[#This Row],[Bid Accepted]]-Table13[[#This Row],[Amount Offered]]</f>
        <v>-3690</v>
      </c>
      <c r="M417" s="57">
        <f>+IF(Table13[[#This Row],[WAYR Last]]&gt;0,IF(Table13[[#This Row],[WAYR Current]]&gt;0,(Table13[[#This Row],[WAYR Current]]-Table13[[#This Row],[WAYR Last]]),""),"")</f>
        <v>3.0000000000000249E-2</v>
      </c>
      <c r="AG417" s="78"/>
      <c r="AH417" s="13"/>
      <c r="AN417" s="78"/>
      <c r="AP417" s="77"/>
      <c r="AU417" s="78"/>
      <c r="AV417" s="64"/>
      <c r="AX417" s="78"/>
      <c r="AY417" s="13"/>
    </row>
    <row r="418" spans="1:51" x14ac:dyDescent="0.2">
      <c r="A418" s="53">
        <v>44229</v>
      </c>
      <c r="B418" s="10"/>
      <c r="C418" s="5">
        <v>364</v>
      </c>
      <c r="D418" s="5" t="s">
        <v>20</v>
      </c>
      <c r="E418" s="14">
        <v>28000</v>
      </c>
      <c r="F418" s="18">
        <v>38340</v>
      </c>
      <c r="G418" s="18">
        <v>16740</v>
      </c>
      <c r="H418" s="37">
        <v>5.0199999999999996</v>
      </c>
      <c r="I418" s="37">
        <v>4.9800000000000004</v>
      </c>
      <c r="J418" s="12">
        <f t="array" ref="J41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44594</v>
      </c>
      <c r="K418" s="59">
        <f>IFERROR(Table13[[#This Row],[Bid Accepted]]*(Table13[[#This Row],[WAYR Current]]%/364*Table13[[#This Row],[Days To Maturity]]),0)</f>
        <v>840.34799999999996</v>
      </c>
      <c r="L418" s="41">
        <f>+Table13[[#This Row],[Bid Accepted]]-Table13[[#This Row],[Amount Offered]]</f>
        <v>-11260</v>
      </c>
      <c r="M418" s="57">
        <f>+IF(Table13[[#This Row],[WAYR Last]]&gt;0,IF(Table13[[#This Row],[WAYR Current]]&gt;0,(Table13[[#This Row],[WAYR Current]]-Table13[[#This Row],[WAYR Last]]),""),"")</f>
        <v>3.9999999999999147E-2</v>
      </c>
      <c r="AG418" s="78"/>
      <c r="AH418" s="13"/>
      <c r="AN418" s="78"/>
      <c r="AP418" s="77"/>
      <c r="AU418" s="78"/>
      <c r="AV418" s="64"/>
      <c r="AX418" s="78"/>
      <c r="AY418" s="13"/>
    </row>
    <row r="419" spans="1:51" x14ac:dyDescent="0.2">
      <c r="A419" s="34">
        <v>44233</v>
      </c>
      <c r="B419" s="35" t="s">
        <v>231</v>
      </c>
      <c r="C419" s="35">
        <v>91</v>
      </c>
      <c r="D419" s="54"/>
      <c r="E419" s="36">
        <v>8000</v>
      </c>
      <c r="F419" s="38">
        <v>22973</v>
      </c>
      <c r="G419" s="38">
        <v>19718</v>
      </c>
      <c r="H419" s="39">
        <v>5.15</v>
      </c>
      <c r="I419" s="39">
        <v>5.13</v>
      </c>
      <c r="J419" s="32">
        <f t="array" ref="J41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44322</v>
      </c>
      <c r="K419" s="66">
        <f>IFERROR(Table13[[#This Row],[Bid Accepted]]*(Table13[[#This Row],[WAYR Current]]%/364*Table13[[#This Row],[Days To Maturity]]),0)</f>
        <v>253.86925000000002</v>
      </c>
      <c r="L419" s="41">
        <f>+Table13[[#This Row],[Bid Accepted]]-Table13[[#This Row],[Amount Offered]]</f>
        <v>11718</v>
      </c>
      <c r="M419" s="57">
        <f>+IF(Table13[[#This Row],[WAYR Last]]&gt;0,IF(Table13[[#This Row],[WAYR Current]]&gt;0,(Table13[[#This Row],[WAYR Current]]-Table13[[#This Row],[WAYR Last]]),""),"")</f>
        <v>2.0000000000000462E-2</v>
      </c>
      <c r="AG419" s="78"/>
      <c r="AH419" s="13"/>
      <c r="AN419" s="78"/>
      <c r="AP419" s="77"/>
      <c r="AU419" s="78"/>
      <c r="AV419" s="64"/>
      <c r="AX419" s="78"/>
      <c r="AY419" s="13"/>
    </row>
    <row r="420" spans="1:51" x14ac:dyDescent="0.2">
      <c r="A420" s="34">
        <v>44233</v>
      </c>
      <c r="B420" s="35" t="s">
        <v>232</v>
      </c>
      <c r="C420" s="35">
        <v>182</v>
      </c>
      <c r="D420" s="54"/>
      <c r="E420" s="36">
        <v>23000</v>
      </c>
      <c r="F420" s="38">
        <v>27878</v>
      </c>
      <c r="G420" s="38">
        <v>10905</v>
      </c>
      <c r="H420" s="39">
        <v>5.17</v>
      </c>
      <c r="I420" s="39">
        <v>5.14</v>
      </c>
      <c r="J420" s="32">
        <f t="array" ref="J42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44414</v>
      </c>
      <c r="K420" s="59">
        <f>IFERROR(Table13[[#This Row],[Bid Accepted]]*(Table13[[#This Row],[WAYR Current]]%/364*Table13[[#This Row],[Days To Maturity]]),0)</f>
        <v>281.89425</v>
      </c>
      <c r="L420" s="41">
        <f>+Table13[[#This Row],[Bid Accepted]]-Table13[[#This Row],[Amount Offered]]</f>
        <v>-12095</v>
      </c>
      <c r="M420" s="57">
        <f>+IF(Table13[[#This Row],[WAYR Last]]&gt;0,IF(Table13[[#This Row],[WAYR Current]]&gt;0,(Table13[[#This Row],[WAYR Current]]-Table13[[#This Row],[WAYR Last]]),""),"")</f>
        <v>3.0000000000000249E-2</v>
      </c>
      <c r="AG420" s="78"/>
      <c r="AH420" s="13"/>
      <c r="AN420" s="78"/>
      <c r="AP420" s="77"/>
      <c r="AU420" s="78"/>
      <c r="AV420" s="64"/>
      <c r="AX420" s="78"/>
      <c r="AY420" s="13"/>
    </row>
    <row r="421" spans="1:51" x14ac:dyDescent="0.2">
      <c r="A421" s="34">
        <v>44233</v>
      </c>
      <c r="B421" s="35" t="s">
        <v>233</v>
      </c>
      <c r="C421" s="54">
        <v>364</v>
      </c>
      <c r="D421" s="54"/>
      <c r="E421" s="36">
        <v>20000</v>
      </c>
      <c r="F421" s="38">
        <v>20000</v>
      </c>
      <c r="G421" s="38">
        <v>100</v>
      </c>
      <c r="H421" s="39">
        <v>5.21</v>
      </c>
      <c r="I421" s="39">
        <v>5.18</v>
      </c>
      <c r="J421" s="32">
        <f t="array" ref="J42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44598</v>
      </c>
      <c r="K421" s="59">
        <f>IFERROR(Table13[[#This Row],[Bid Accepted]]*(Table13[[#This Row],[WAYR Current]]%/364*Table13[[#This Row],[Days To Maturity]]),0)</f>
        <v>5.21</v>
      </c>
      <c r="L421" s="41">
        <f>+Table13[[#This Row],[Bid Accepted]]-Table13[[#This Row],[Amount Offered]]</f>
        <v>-19900</v>
      </c>
      <c r="M421" s="57">
        <f>+IF(Table13[[#This Row],[WAYR Last]]&gt;0,IF(Table13[[#This Row],[WAYR Current]]&gt;0,(Table13[[#This Row],[WAYR Current]]-Table13[[#This Row],[WAYR Last]]),""),"")</f>
        <v>3.0000000000000249E-2</v>
      </c>
      <c r="AG421" s="78"/>
      <c r="AH421" s="13"/>
      <c r="AN421" s="78"/>
      <c r="AP421" s="77"/>
      <c r="AU421" s="78"/>
      <c r="AV421" s="64"/>
      <c r="AX421" s="78"/>
      <c r="AY421" s="13"/>
    </row>
    <row r="422" spans="1:51" x14ac:dyDescent="0.2">
      <c r="A422" s="9">
        <v>44237</v>
      </c>
      <c r="B422" s="10"/>
      <c r="C422" s="10">
        <v>91</v>
      </c>
      <c r="D422" s="5" t="s">
        <v>20</v>
      </c>
      <c r="E422" s="11">
        <v>7000</v>
      </c>
      <c r="F422" s="27">
        <v>32566</v>
      </c>
      <c r="G422" s="27">
        <v>11536</v>
      </c>
      <c r="H422" s="42">
        <v>4.72</v>
      </c>
      <c r="I422" s="43">
        <v>4.7</v>
      </c>
      <c r="J422" s="12">
        <f t="array" ref="J42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44326</v>
      </c>
      <c r="K422" s="66">
        <f>IFERROR(Table13[[#This Row],[Bid Accepted]]*(Table13[[#This Row],[WAYR Current]]%/364*Table13[[#This Row],[Days To Maturity]]),0)</f>
        <v>136.12479999999999</v>
      </c>
      <c r="L422" s="41">
        <f>+Table13[[#This Row],[Bid Accepted]]-Table13[[#This Row],[Amount Offered]]</f>
        <v>4536</v>
      </c>
      <c r="M422" s="57">
        <f>+IF(Table13[[#This Row],[WAYR Last]]&gt;0,IF(Table13[[#This Row],[WAYR Current]]&gt;0,(Table13[[#This Row],[WAYR Current]]-Table13[[#This Row],[WAYR Last]]),""),"")</f>
        <v>1.9999999999999574E-2</v>
      </c>
      <c r="AG422" s="78"/>
      <c r="AH422" s="13"/>
      <c r="AN422" s="78"/>
      <c r="AP422" s="77"/>
      <c r="AU422" s="78"/>
      <c r="AV422" s="64"/>
      <c r="AX422" s="78"/>
      <c r="AY422" s="13"/>
    </row>
    <row r="423" spans="1:51" x14ac:dyDescent="0.2">
      <c r="A423" s="9">
        <v>44237</v>
      </c>
      <c r="B423" s="10"/>
      <c r="C423" s="10">
        <v>182</v>
      </c>
      <c r="D423" s="5" t="s">
        <v>20</v>
      </c>
      <c r="E423" s="14">
        <v>5000</v>
      </c>
      <c r="F423" s="18">
        <v>13884</v>
      </c>
      <c r="G423" s="18">
        <v>708</v>
      </c>
      <c r="H423" s="37">
        <v>4.8499999999999996</v>
      </c>
      <c r="I423" s="37">
        <v>4.78</v>
      </c>
      <c r="J423" s="12">
        <f t="array" ref="J42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44418</v>
      </c>
      <c r="K423" s="59">
        <f>IFERROR(Table13[[#This Row],[Bid Accepted]]*(Table13[[#This Row],[WAYR Current]]%/364*Table13[[#This Row],[Days To Maturity]]),0)</f>
        <v>17.168999999999997</v>
      </c>
      <c r="L423" s="41">
        <f>+Table13[[#This Row],[Bid Accepted]]-Table13[[#This Row],[Amount Offered]]</f>
        <v>-4292</v>
      </c>
      <c r="M423" s="57">
        <f>+IF(Table13[[#This Row],[WAYR Last]]&gt;0,IF(Table13[[#This Row],[WAYR Current]]&gt;0,(Table13[[#This Row],[WAYR Current]]-Table13[[#This Row],[WAYR Last]]),""),"")</f>
        <v>6.9999999999999396E-2</v>
      </c>
      <c r="AG423" s="78"/>
      <c r="AH423" s="13"/>
      <c r="AN423" s="78"/>
      <c r="AP423" s="77"/>
      <c r="AU423" s="78"/>
      <c r="AV423" s="64"/>
      <c r="AX423" s="78"/>
      <c r="AY423" s="13"/>
    </row>
    <row r="424" spans="1:51" x14ac:dyDescent="0.2">
      <c r="A424" s="9">
        <v>44237</v>
      </c>
      <c r="B424" s="10"/>
      <c r="C424" s="5">
        <v>364</v>
      </c>
      <c r="D424" s="5" t="s">
        <v>20</v>
      </c>
      <c r="E424" s="14">
        <v>28000</v>
      </c>
      <c r="F424" s="18">
        <v>28000</v>
      </c>
      <c r="G424" s="18">
        <v>1675</v>
      </c>
      <c r="H424" s="37">
        <v>5.04</v>
      </c>
      <c r="I424" s="37">
        <v>5.0199999999999996</v>
      </c>
      <c r="J424" s="12">
        <f t="array" ref="J42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44602</v>
      </c>
      <c r="K424" s="59">
        <f>IFERROR(Table13[[#This Row],[Bid Accepted]]*(Table13[[#This Row],[WAYR Current]]%/364*Table13[[#This Row],[Days To Maturity]]),0)</f>
        <v>84.420000000000016</v>
      </c>
      <c r="L424" s="41">
        <f>+Table13[[#This Row],[Bid Accepted]]-Table13[[#This Row],[Amount Offered]]</f>
        <v>-26325</v>
      </c>
      <c r="M424" s="57">
        <f>+IF(Table13[[#This Row],[WAYR Last]]&gt;0,IF(Table13[[#This Row],[WAYR Current]]&gt;0,(Table13[[#This Row],[WAYR Current]]-Table13[[#This Row],[WAYR Last]]),""),"")</f>
        <v>2.0000000000000462E-2</v>
      </c>
      <c r="AG424" s="78"/>
      <c r="AH424" s="13"/>
      <c r="AN424" s="78"/>
      <c r="AP424" s="77"/>
      <c r="AU424" s="78"/>
      <c r="AV424" s="64"/>
      <c r="AX424" s="78"/>
      <c r="AY424" s="13"/>
    </row>
    <row r="425" spans="1:51" x14ac:dyDescent="0.2">
      <c r="A425" s="9">
        <v>44244</v>
      </c>
      <c r="B425" s="10"/>
      <c r="C425" s="10">
        <v>91</v>
      </c>
      <c r="D425" s="5" t="s">
        <v>20</v>
      </c>
      <c r="E425" s="11">
        <v>5000</v>
      </c>
      <c r="F425" s="27">
        <v>12857</v>
      </c>
      <c r="G425" s="27">
        <v>9562</v>
      </c>
      <c r="H425" s="42">
        <v>4.82</v>
      </c>
      <c r="I425" s="43">
        <v>4.72</v>
      </c>
      <c r="J425" s="12">
        <f t="array" ref="J42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44333</v>
      </c>
      <c r="K425" s="59">
        <f>IFERROR(Table13[[#This Row],[Bid Accepted]]*(Table13[[#This Row],[WAYR Current]]%/364*Table13[[#This Row],[Days To Maturity]]),0)</f>
        <v>115.2221</v>
      </c>
      <c r="L425" s="41">
        <f>+Table13[[#This Row],[Bid Accepted]]-Table13[[#This Row],[Amount Offered]]</f>
        <v>4562</v>
      </c>
      <c r="M425" s="57">
        <f>+IF(Table13[[#This Row],[WAYR Last]]&gt;0,IF(Table13[[#This Row],[WAYR Current]]&gt;0,(Table13[[#This Row],[WAYR Current]]-Table13[[#This Row],[WAYR Last]]),""),"")</f>
        <v>0.10000000000000053</v>
      </c>
      <c r="AG425" s="78"/>
      <c r="AH425" s="13"/>
      <c r="AN425" s="78"/>
      <c r="AP425" s="77"/>
      <c r="AU425" s="78"/>
      <c r="AV425" s="64"/>
      <c r="AX425" s="78"/>
      <c r="AY425" s="13"/>
    </row>
    <row r="426" spans="1:51" x14ac:dyDescent="0.2">
      <c r="A426" s="9">
        <v>44244</v>
      </c>
      <c r="B426" s="10"/>
      <c r="C426" s="10">
        <v>182</v>
      </c>
      <c r="D426" s="5" t="s">
        <v>20</v>
      </c>
      <c r="E426" s="11">
        <v>8000</v>
      </c>
      <c r="F426" s="27">
        <v>17122</v>
      </c>
      <c r="G426" s="27">
        <v>4222</v>
      </c>
      <c r="H426" s="42">
        <v>4.93</v>
      </c>
      <c r="I426" s="43">
        <v>4.8499999999999996</v>
      </c>
      <c r="J426" s="12">
        <f t="array" ref="J42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44425</v>
      </c>
      <c r="K426" s="66">
        <f>IFERROR(Table13[[#This Row],[Bid Accepted]]*(Table13[[#This Row],[WAYR Current]]%/364*Table13[[#This Row],[Days To Maturity]]),0)</f>
        <v>104.0723</v>
      </c>
      <c r="L426" s="41">
        <f>+Table13[[#This Row],[Bid Accepted]]-Table13[[#This Row],[Amount Offered]]</f>
        <v>-3778</v>
      </c>
      <c r="M426" s="57">
        <f>+IF(Table13[[#This Row],[WAYR Last]]&gt;0,IF(Table13[[#This Row],[WAYR Current]]&gt;0,(Table13[[#This Row],[WAYR Current]]-Table13[[#This Row],[WAYR Last]]),""),"")</f>
        <v>8.0000000000000071E-2</v>
      </c>
      <c r="AG426" s="78"/>
      <c r="AH426" s="13"/>
      <c r="AN426" s="78"/>
      <c r="AP426" s="77"/>
      <c r="AU426" s="78"/>
      <c r="AV426" s="64"/>
      <c r="AX426" s="78"/>
      <c r="AY426" s="13"/>
    </row>
    <row r="427" spans="1:51" x14ac:dyDescent="0.2">
      <c r="A427" s="9">
        <v>44244</v>
      </c>
      <c r="B427" s="10"/>
      <c r="C427" s="5">
        <v>364</v>
      </c>
      <c r="D427" s="5" t="s">
        <v>20</v>
      </c>
      <c r="E427" s="11">
        <v>25000</v>
      </c>
      <c r="F427" s="27">
        <v>25020</v>
      </c>
      <c r="G427" s="27">
        <v>2920</v>
      </c>
      <c r="H427" s="42">
        <v>5.09</v>
      </c>
      <c r="I427" s="43">
        <v>5.04</v>
      </c>
      <c r="J427" s="12">
        <f t="array" ref="J42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44609</v>
      </c>
      <c r="K427" s="59">
        <f>IFERROR(Table13[[#This Row],[Bid Accepted]]*(Table13[[#This Row],[WAYR Current]]%/364*Table13[[#This Row],[Days To Maturity]]),0)</f>
        <v>148.62800000000001</v>
      </c>
      <c r="L427" s="41">
        <f>+Table13[[#This Row],[Bid Accepted]]-Table13[[#This Row],[Amount Offered]]</f>
        <v>-22080</v>
      </c>
      <c r="M427" s="57">
        <f>+IF(Table13[[#This Row],[WAYR Last]]&gt;0,IF(Table13[[#This Row],[WAYR Current]]&gt;0,(Table13[[#This Row],[WAYR Current]]-Table13[[#This Row],[WAYR Last]]),""),"")</f>
        <v>4.9999999999999822E-2</v>
      </c>
      <c r="AG427" s="78"/>
      <c r="AH427" s="13"/>
      <c r="AN427" s="78"/>
      <c r="AP427" s="77"/>
      <c r="AU427" s="78"/>
      <c r="AV427" s="64"/>
      <c r="AX427" s="78"/>
      <c r="AY427" s="13"/>
    </row>
    <row r="428" spans="1:51" x14ac:dyDescent="0.2">
      <c r="A428" s="9">
        <v>44250</v>
      </c>
      <c r="B428" s="10"/>
      <c r="C428" s="10">
        <v>91</v>
      </c>
      <c r="D428" s="5" t="s">
        <v>20</v>
      </c>
      <c r="E428" s="11">
        <v>7000</v>
      </c>
      <c r="F428" s="11">
        <v>16475</v>
      </c>
      <c r="G428" s="11">
        <v>9440</v>
      </c>
      <c r="H428" s="78">
        <v>4.9000000000000004</v>
      </c>
      <c r="I428" s="65">
        <v>4.82</v>
      </c>
      <c r="J428" s="12">
        <f t="array" ref="J42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44339</v>
      </c>
      <c r="K428" s="66">
        <f>IFERROR(Table13[[#This Row],[Bid Accepted]]*(Table13[[#This Row],[WAYR Current]]%/364*Table13[[#This Row],[Days To Maturity]]),0)</f>
        <v>115.63999999999999</v>
      </c>
      <c r="L428" s="41">
        <f>+Table13[[#This Row],[Bid Accepted]]-Table13[[#This Row],[Amount Offered]]</f>
        <v>2440</v>
      </c>
      <c r="M428" s="57">
        <f>+IF(Table13[[#This Row],[WAYR Last]]&gt;0,IF(Table13[[#This Row],[WAYR Current]]&gt;0,(Table13[[#This Row],[WAYR Current]]-Table13[[#This Row],[WAYR Last]]),""),"")</f>
        <v>8.0000000000000071E-2</v>
      </c>
      <c r="AG428" s="78"/>
      <c r="AH428" s="13"/>
      <c r="AN428" s="78"/>
      <c r="AP428" s="77"/>
      <c r="AU428" s="78"/>
      <c r="AV428" s="64"/>
      <c r="AX428" s="78"/>
      <c r="AY428" s="13"/>
    </row>
    <row r="429" spans="1:51" x14ac:dyDescent="0.2">
      <c r="A429" s="9">
        <v>44250</v>
      </c>
      <c r="B429" s="10"/>
      <c r="C429" s="10">
        <v>182</v>
      </c>
      <c r="D429" s="5" t="s">
        <v>20</v>
      </c>
      <c r="E429" s="11">
        <v>10500</v>
      </c>
      <c r="F429" s="11">
        <v>14566</v>
      </c>
      <c r="G429" s="11">
        <v>6791</v>
      </c>
      <c r="H429" s="78">
        <v>4.99</v>
      </c>
      <c r="I429" s="65">
        <v>4.93</v>
      </c>
      <c r="J429" s="12">
        <f t="array" ref="J42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44431</v>
      </c>
      <c r="K429" s="59">
        <f>IFERROR(Table13[[#This Row],[Bid Accepted]]*(Table13[[#This Row],[WAYR Current]]%/364*Table13[[#This Row],[Days To Maturity]]),0)</f>
        <v>169.43545000000003</v>
      </c>
      <c r="L429" s="41">
        <f>+Table13[[#This Row],[Bid Accepted]]-Table13[[#This Row],[Amount Offered]]</f>
        <v>-3709</v>
      </c>
      <c r="M429" s="57">
        <f>+IF(Table13[[#This Row],[WAYR Last]]&gt;0,IF(Table13[[#This Row],[WAYR Current]]&gt;0,(Table13[[#This Row],[WAYR Current]]-Table13[[#This Row],[WAYR Last]]),""),"")</f>
        <v>6.0000000000000497E-2</v>
      </c>
      <c r="AG429" s="78"/>
      <c r="AH429" s="13"/>
      <c r="AN429" s="78"/>
      <c r="AP429" s="77"/>
      <c r="AU429" s="78"/>
      <c r="AV429" s="64"/>
      <c r="AX429" s="78"/>
      <c r="AY429" s="13"/>
    </row>
    <row r="430" spans="1:51" x14ac:dyDescent="0.2">
      <c r="A430" s="9">
        <v>44250</v>
      </c>
      <c r="B430" s="10"/>
      <c r="C430" s="5">
        <v>364</v>
      </c>
      <c r="D430" s="5" t="s">
        <v>20</v>
      </c>
      <c r="E430" s="11">
        <v>25000</v>
      </c>
      <c r="F430" s="11">
        <v>25180</v>
      </c>
      <c r="G430" s="78">
        <v>580</v>
      </c>
      <c r="H430" s="78">
        <v>5.09</v>
      </c>
      <c r="I430" s="65">
        <v>5.09</v>
      </c>
      <c r="J430" s="12">
        <f t="array" ref="J43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44615</v>
      </c>
      <c r="K430" s="59">
        <f>IFERROR(Table13[[#This Row],[Bid Accepted]]*(Table13[[#This Row],[WAYR Current]]%/364*Table13[[#This Row],[Days To Maturity]]),0)</f>
        <v>29.522000000000006</v>
      </c>
      <c r="L430" s="41">
        <f>+Table13[[#This Row],[Bid Accepted]]-Table13[[#This Row],[Amount Offered]]</f>
        <v>-24420</v>
      </c>
      <c r="M430" s="57">
        <f>+IF(Table13[[#This Row],[WAYR Last]]&gt;0,IF(Table13[[#This Row],[WAYR Current]]&gt;0,(Table13[[#This Row],[WAYR Current]]-Table13[[#This Row],[WAYR Last]]),""),"")</f>
        <v>0</v>
      </c>
      <c r="AG430" s="78"/>
      <c r="AH430" s="13"/>
      <c r="AN430" s="78"/>
      <c r="AP430" s="77"/>
      <c r="AU430" s="78"/>
      <c r="AV430" s="64"/>
      <c r="AX430" s="78"/>
      <c r="AY430" s="13"/>
    </row>
    <row r="431" spans="1:51" x14ac:dyDescent="0.2">
      <c r="A431" s="9">
        <v>44258</v>
      </c>
      <c r="B431" s="10"/>
      <c r="C431" s="10">
        <v>91</v>
      </c>
      <c r="D431" s="5" t="s">
        <v>20</v>
      </c>
      <c r="E431" s="14">
        <v>7500</v>
      </c>
      <c r="F431" s="18">
        <v>48446</v>
      </c>
      <c r="G431" s="18">
        <v>17384</v>
      </c>
      <c r="H431" s="37">
        <v>4.95</v>
      </c>
      <c r="I431" s="37">
        <v>4.9000000000000004</v>
      </c>
      <c r="J431" s="12">
        <f t="array" ref="J43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44350</v>
      </c>
      <c r="K431" s="59">
        <f>IFERROR(Table13[[#This Row],[Bid Accepted]]*(Table13[[#This Row],[WAYR Current]]%/364*Table13[[#This Row],[Days To Maturity]]),0)</f>
        <v>215.12700000000001</v>
      </c>
      <c r="L431" s="41">
        <f>+Table13[[#This Row],[Bid Accepted]]-Table13[[#This Row],[Amount Offered]]</f>
        <v>9884</v>
      </c>
      <c r="M431" s="57">
        <f>+IF(Table13[[#This Row],[WAYR Last]]&gt;0,IF(Table13[[#This Row],[WAYR Current]]&gt;0,(Table13[[#This Row],[WAYR Current]]-Table13[[#This Row],[WAYR Last]]),""),"")</f>
        <v>4.9999999999999822E-2</v>
      </c>
      <c r="AG431" s="78"/>
      <c r="AH431" s="13"/>
      <c r="AN431" s="78"/>
      <c r="AP431" s="77"/>
      <c r="AU431" s="78"/>
      <c r="AV431" s="64"/>
      <c r="AX431" s="78"/>
      <c r="AY431" s="13"/>
    </row>
    <row r="432" spans="1:51" x14ac:dyDescent="0.2">
      <c r="A432" s="9">
        <v>44258</v>
      </c>
      <c r="B432" s="10"/>
      <c r="C432" s="10">
        <v>182</v>
      </c>
      <c r="D432" s="5" t="s">
        <v>20</v>
      </c>
      <c r="E432" s="14">
        <v>12500</v>
      </c>
      <c r="F432" s="18">
        <v>40466</v>
      </c>
      <c r="G432" s="18">
        <v>27516</v>
      </c>
      <c r="H432" s="37">
        <v>5.03</v>
      </c>
      <c r="I432" s="37">
        <v>4.99</v>
      </c>
      <c r="J432" s="12">
        <f t="array" ref="J43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44442</v>
      </c>
      <c r="K432" s="59">
        <f>IFERROR(Table13[[#This Row],[Bid Accepted]]*(Table13[[#This Row],[WAYR Current]]%/364*Table13[[#This Row],[Days To Maturity]]),0)</f>
        <v>692.02740000000017</v>
      </c>
      <c r="L432" s="41">
        <f>+Table13[[#This Row],[Bid Accepted]]-Table13[[#This Row],[Amount Offered]]</f>
        <v>15016</v>
      </c>
      <c r="M432" s="57">
        <f>+IF(Table13[[#This Row],[WAYR Last]]&gt;0,IF(Table13[[#This Row],[WAYR Current]]&gt;0,(Table13[[#This Row],[WAYR Current]]-Table13[[#This Row],[WAYR Last]]),""),"")</f>
        <v>4.0000000000000036E-2</v>
      </c>
      <c r="AG432" s="78"/>
      <c r="AH432" s="13"/>
      <c r="AN432" s="78"/>
      <c r="AP432" s="77"/>
      <c r="AU432" s="78"/>
      <c r="AV432" s="64"/>
      <c r="AX432" s="78"/>
      <c r="AY432" s="13"/>
    </row>
    <row r="433" spans="1:51" x14ac:dyDescent="0.2">
      <c r="A433" s="9">
        <v>44258</v>
      </c>
      <c r="B433" s="10"/>
      <c r="C433" s="5">
        <v>364</v>
      </c>
      <c r="D433" s="5" t="s">
        <v>20</v>
      </c>
      <c r="E433" s="14">
        <v>25000</v>
      </c>
      <c r="F433" s="18">
        <v>25000</v>
      </c>
      <c r="G433" s="18">
        <v>100</v>
      </c>
      <c r="H433" s="37">
        <v>5.0999999999999996</v>
      </c>
      <c r="I433" s="37">
        <v>5.09</v>
      </c>
      <c r="J433" s="12">
        <f t="array" ref="J43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44623</v>
      </c>
      <c r="K433" s="59">
        <f>IFERROR(Table13[[#This Row],[Bid Accepted]]*(Table13[[#This Row],[WAYR Current]]%/364*Table13[[#This Row],[Days To Maturity]]),0)</f>
        <v>5.0999999999999988</v>
      </c>
      <c r="L433" s="41">
        <f>+Table13[[#This Row],[Bid Accepted]]-Table13[[#This Row],[Amount Offered]]</f>
        <v>-24900</v>
      </c>
      <c r="M433" s="57">
        <f>+IF(Table13[[#This Row],[WAYR Last]]&gt;0,IF(Table13[[#This Row],[WAYR Current]]&gt;0,(Table13[[#This Row],[WAYR Current]]-Table13[[#This Row],[WAYR Last]]),""),"")</f>
        <v>9.9999999999997868E-3</v>
      </c>
      <c r="AG433" s="78"/>
      <c r="AH433" s="13"/>
      <c r="AN433" s="78"/>
      <c r="AP433" s="77"/>
      <c r="AU433" s="78"/>
      <c r="AV433" s="64"/>
      <c r="AX433" s="78"/>
      <c r="AY433" s="13"/>
    </row>
    <row r="434" spans="1:51" x14ac:dyDescent="0.2">
      <c r="A434" s="9">
        <v>44265</v>
      </c>
      <c r="B434" s="10"/>
      <c r="C434" s="10">
        <v>91</v>
      </c>
      <c r="D434" s="5" t="s">
        <v>20</v>
      </c>
      <c r="E434" s="11">
        <v>10000</v>
      </c>
      <c r="F434" s="27">
        <v>23786</v>
      </c>
      <c r="G434" s="27">
        <v>19261</v>
      </c>
      <c r="H434" s="42">
        <v>4.99</v>
      </c>
      <c r="I434" s="43">
        <v>4.95</v>
      </c>
      <c r="J434" s="12">
        <f t="array" ref="J43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44357</v>
      </c>
      <c r="K434" s="59">
        <f>IFERROR(Table13[[#This Row],[Bid Accepted]]*(Table13[[#This Row],[WAYR Current]]%/364*Table13[[#This Row],[Days To Maturity]]),0)</f>
        <v>240.28097500000004</v>
      </c>
      <c r="L434" s="41">
        <f>+Table13[[#This Row],[Bid Accepted]]-Table13[[#This Row],[Amount Offered]]</f>
        <v>9261</v>
      </c>
      <c r="M434" s="57">
        <f>+IF(Table13[[#This Row],[WAYR Last]]&gt;0,IF(Table13[[#This Row],[WAYR Current]]&gt;0,(Table13[[#This Row],[WAYR Current]]-Table13[[#This Row],[WAYR Last]]),""),"")</f>
        <v>4.0000000000000036E-2</v>
      </c>
      <c r="AG434" s="78"/>
      <c r="AH434" s="13"/>
      <c r="AN434" s="78"/>
      <c r="AP434" s="77"/>
      <c r="AU434" s="78"/>
      <c r="AV434" s="64"/>
      <c r="AX434" s="78"/>
      <c r="AY434" s="13"/>
    </row>
    <row r="435" spans="1:51" x14ac:dyDescent="0.2">
      <c r="A435" s="9">
        <v>44265</v>
      </c>
      <c r="B435" s="10"/>
      <c r="C435" s="10">
        <v>182</v>
      </c>
      <c r="D435" s="5" t="s">
        <v>20</v>
      </c>
      <c r="E435" s="11">
        <v>10000</v>
      </c>
      <c r="F435" s="27">
        <v>20667</v>
      </c>
      <c r="G435" s="27">
        <v>13917</v>
      </c>
      <c r="H435" s="42">
        <v>5.0599999999999996</v>
      </c>
      <c r="I435" s="43">
        <v>5.03</v>
      </c>
      <c r="J435" s="12">
        <f t="array" ref="J43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44449</v>
      </c>
      <c r="K435" s="59">
        <f>IFERROR(Table13[[#This Row],[Bid Accepted]]*(Table13[[#This Row],[WAYR Current]]%/364*Table13[[#This Row],[Days To Maturity]]),0)</f>
        <v>352.1001</v>
      </c>
      <c r="L435" s="41">
        <f>+Table13[[#This Row],[Bid Accepted]]-Table13[[#This Row],[Amount Offered]]</f>
        <v>3917</v>
      </c>
      <c r="M435" s="57">
        <f>+IF(Table13[[#This Row],[WAYR Last]]&gt;0,IF(Table13[[#This Row],[WAYR Current]]&gt;0,(Table13[[#This Row],[WAYR Current]]-Table13[[#This Row],[WAYR Last]]),""),"")</f>
        <v>2.9999999999999361E-2</v>
      </c>
      <c r="AG435" s="78"/>
      <c r="AH435" s="13"/>
      <c r="AN435" s="78"/>
      <c r="AP435" s="77"/>
      <c r="AU435" s="78"/>
      <c r="AV435" s="64"/>
      <c r="AX435" s="78"/>
      <c r="AY435" s="13"/>
    </row>
    <row r="436" spans="1:51" x14ac:dyDescent="0.2">
      <c r="A436" s="9">
        <v>44265</v>
      </c>
      <c r="B436" s="10"/>
      <c r="C436" s="5">
        <v>364</v>
      </c>
      <c r="D436" s="5" t="s">
        <v>20</v>
      </c>
      <c r="E436" s="11">
        <v>25000</v>
      </c>
      <c r="F436" s="27">
        <v>25225</v>
      </c>
      <c r="G436" s="27">
        <v>1557</v>
      </c>
      <c r="H436" s="42">
        <v>5.0999999999999996</v>
      </c>
      <c r="I436" s="43">
        <v>5.0999999999999996</v>
      </c>
      <c r="J436" s="12">
        <f t="array" ref="J43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44630</v>
      </c>
      <c r="K436" s="59">
        <f>IFERROR(Table13[[#This Row],[Bid Accepted]]*(Table13[[#This Row],[WAYR Current]]%/364*Table13[[#This Row],[Days To Maturity]]),0)</f>
        <v>79.406999999999982</v>
      </c>
      <c r="L436" s="41">
        <f>+Table13[[#This Row],[Bid Accepted]]-Table13[[#This Row],[Amount Offered]]</f>
        <v>-23443</v>
      </c>
      <c r="M436" s="57">
        <f>+IF(Table13[[#This Row],[WAYR Last]]&gt;0,IF(Table13[[#This Row],[WAYR Current]]&gt;0,(Table13[[#This Row],[WAYR Current]]-Table13[[#This Row],[WAYR Last]]),""),"")</f>
        <v>0</v>
      </c>
      <c r="AG436" s="78"/>
      <c r="AH436" s="13"/>
      <c r="AN436" s="78"/>
      <c r="AP436" s="77"/>
      <c r="AU436" s="78"/>
      <c r="AV436" s="64"/>
      <c r="AX436" s="78"/>
      <c r="AY436" s="13"/>
    </row>
    <row r="437" spans="1:51" x14ac:dyDescent="0.2">
      <c r="A437" s="9">
        <v>44272</v>
      </c>
      <c r="B437" s="10"/>
      <c r="C437" s="10">
        <v>91</v>
      </c>
      <c r="D437" s="5" t="s">
        <v>20</v>
      </c>
      <c r="E437" s="14">
        <v>10000</v>
      </c>
      <c r="F437" s="18">
        <v>25059</v>
      </c>
      <c r="G437" s="18">
        <v>16177</v>
      </c>
      <c r="H437" s="37">
        <v>5.01</v>
      </c>
      <c r="I437" s="37">
        <v>4.99</v>
      </c>
      <c r="J437" s="12">
        <f t="array" ref="J43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44364</v>
      </c>
      <c r="K437" s="59">
        <f>IFERROR(Table13[[#This Row],[Bid Accepted]]*(Table13[[#This Row],[WAYR Current]]%/364*Table13[[#This Row],[Days To Maturity]]),0)</f>
        <v>202.61692499999998</v>
      </c>
      <c r="L437" s="41">
        <f>+Table13[[#This Row],[Bid Accepted]]-Table13[[#This Row],[Amount Offered]]</f>
        <v>6177</v>
      </c>
      <c r="M437" s="57">
        <f>+IF(Table13[[#This Row],[WAYR Last]]&gt;0,IF(Table13[[#This Row],[WAYR Current]]&gt;0,(Table13[[#This Row],[WAYR Current]]-Table13[[#This Row],[WAYR Last]]),""),"")</f>
        <v>1.9999999999999574E-2</v>
      </c>
      <c r="AG437" s="78"/>
      <c r="AH437" s="13"/>
      <c r="AN437" s="78"/>
      <c r="AP437" s="77"/>
      <c r="AU437" s="78"/>
      <c r="AV437" s="64"/>
      <c r="AX437" s="78"/>
      <c r="AY437" s="13"/>
    </row>
    <row r="438" spans="1:51" x14ac:dyDescent="0.2">
      <c r="A438" s="9">
        <v>44272</v>
      </c>
      <c r="B438" s="10"/>
      <c r="C438" s="10">
        <v>182</v>
      </c>
      <c r="D438" s="5" t="s">
        <v>20</v>
      </c>
      <c r="E438" s="11">
        <v>10000</v>
      </c>
      <c r="F438" s="11">
        <v>15235</v>
      </c>
      <c r="G438" s="11">
        <v>8985</v>
      </c>
      <c r="H438" s="78">
        <v>5.07</v>
      </c>
      <c r="I438" s="65">
        <v>5.0599999999999996</v>
      </c>
      <c r="J438" s="12">
        <f t="array" ref="J43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44456</v>
      </c>
      <c r="K438" s="66">
        <f>IFERROR(Table13[[#This Row],[Bid Accepted]]*(Table13[[#This Row],[WAYR Current]]%/364*Table13[[#This Row],[Days To Maturity]]),0)</f>
        <v>227.76975000000002</v>
      </c>
      <c r="L438" s="41">
        <f>+Table13[[#This Row],[Bid Accepted]]-Table13[[#This Row],[Amount Offered]]</f>
        <v>-1015</v>
      </c>
      <c r="M438" s="57">
        <f>+IF(Table13[[#This Row],[WAYR Last]]&gt;0,IF(Table13[[#This Row],[WAYR Current]]&gt;0,(Table13[[#This Row],[WAYR Current]]-Table13[[#This Row],[WAYR Last]]),""),"")</f>
        <v>1.0000000000000675E-2</v>
      </c>
      <c r="AG438" s="78"/>
      <c r="AH438" s="13"/>
      <c r="AN438" s="78"/>
      <c r="AP438" s="77"/>
      <c r="AU438" s="78"/>
      <c r="AV438" s="64"/>
      <c r="AX438" s="78"/>
      <c r="AY438" s="13"/>
    </row>
    <row r="439" spans="1:51" x14ac:dyDescent="0.2">
      <c r="A439" s="9">
        <v>44272</v>
      </c>
      <c r="B439" s="10"/>
      <c r="C439" s="5">
        <v>364</v>
      </c>
      <c r="D439" s="5" t="s">
        <v>20</v>
      </c>
      <c r="E439" s="11">
        <v>25000</v>
      </c>
      <c r="F439" s="11">
        <v>25370</v>
      </c>
      <c r="G439" s="11">
        <v>657</v>
      </c>
      <c r="H439" s="78">
        <v>5.1100000000000003</v>
      </c>
      <c r="I439" s="65">
        <v>5.0999999999999996</v>
      </c>
      <c r="J439" s="12">
        <f t="array" ref="J43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44637</v>
      </c>
      <c r="K439" s="59">
        <f>IFERROR(Table13[[#This Row],[Bid Accepted]]*(Table13[[#This Row],[WAYR Current]]%/364*Table13[[#This Row],[Days To Maturity]]),0)</f>
        <v>33.572700000000005</v>
      </c>
      <c r="L439" s="41">
        <f>+Table13[[#This Row],[Bid Accepted]]-Table13[[#This Row],[Amount Offered]]</f>
        <v>-24343</v>
      </c>
      <c r="M439" s="57">
        <f>+IF(Table13[[#This Row],[WAYR Last]]&gt;0,IF(Table13[[#This Row],[WAYR Current]]&gt;0,(Table13[[#This Row],[WAYR Current]]-Table13[[#This Row],[WAYR Last]]),""),"")</f>
        <v>1.0000000000000675E-2</v>
      </c>
      <c r="AG439" s="78"/>
      <c r="AH439" s="13"/>
      <c r="AN439" s="78"/>
      <c r="AP439" s="77"/>
      <c r="AU439" s="78"/>
      <c r="AV439" s="64"/>
      <c r="AX439" s="78"/>
      <c r="AY439" s="13"/>
    </row>
    <row r="440" spans="1:51" x14ac:dyDescent="0.2">
      <c r="A440" s="9">
        <v>44279</v>
      </c>
      <c r="B440" s="10" t="s">
        <v>234</v>
      </c>
      <c r="C440" s="5">
        <v>91</v>
      </c>
      <c r="D440" s="5" t="s">
        <v>20</v>
      </c>
      <c r="E440" s="11">
        <v>10000</v>
      </c>
      <c r="F440" s="11">
        <v>18100</v>
      </c>
      <c r="G440" s="11">
        <v>9030</v>
      </c>
      <c r="H440" s="78">
        <v>5.04</v>
      </c>
      <c r="I440" s="65">
        <v>5.01</v>
      </c>
      <c r="J440" s="12">
        <f t="array" ref="J44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44371</v>
      </c>
      <c r="K440" s="59">
        <f>IFERROR(Table13[[#This Row],[Bid Accepted]]*(Table13[[#This Row],[WAYR Current]]%/364*Table13[[#This Row],[Days To Maturity]]),0)</f>
        <v>113.77800000000002</v>
      </c>
      <c r="L440" s="41">
        <f>+Table13[[#This Row],[Bid Accepted]]-Table13[[#This Row],[Amount Offered]]</f>
        <v>-970</v>
      </c>
      <c r="M440" s="57">
        <f>+IF(Table13[[#This Row],[WAYR Last]]&gt;0,IF(Table13[[#This Row],[WAYR Current]]&gt;0,(Table13[[#This Row],[WAYR Current]]-Table13[[#This Row],[WAYR Last]]),""),"")</f>
        <v>3.0000000000000249E-2</v>
      </c>
      <c r="AG440" s="78"/>
      <c r="AH440" s="13"/>
      <c r="AN440" s="78"/>
      <c r="AP440" s="77"/>
      <c r="AU440" s="78"/>
      <c r="AV440" s="64"/>
      <c r="AX440" s="78"/>
      <c r="AY440" s="13"/>
    </row>
    <row r="441" spans="1:51" x14ac:dyDescent="0.2">
      <c r="A441" s="9">
        <v>44279</v>
      </c>
      <c r="B441" s="10" t="s">
        <v>235</v>
      </c>
      <c r="C441" s="5">
        <v>182</v>
      </c>
      <c r="D441" s="5" t="s">
        <v>20</v>
      </c>
      <c r="E441" s="11">
        <v>15000</v>
      </c>
      <c r="F441" s="11">
        <v>15526</v>
      </c>
      <c r="G441" s="11">
        <v>1192</v>
      </c>
      <c r="H441" s="78">
        <v>5.08</v>
      </c>
      <c r="I441" s="65">
        <v>5.07</v>
      </c>
      <c r="J441" s="12">
        <f t="array" ref="J44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44463</v>
      </c>
      <c r="K441" s="59">
        <f>IFERROR(Table13[[#This Row],[Bid Accepted]]*(Table13[[#This Row],[WAYR Current]]%/364*Table13[[#This Row],[Days To Maturity]]),0)</f>
        <v>30.276799999999998</v>
      </c>
      <c r="L441" s="41">
        <f>+Table13[[#This Row],[Bid Accepted]]-Table13[[#This Row],[Amount Offered]]</f>
        <v>-13808</v>
      </c>
      <c r="M441" s="57">
        <f>+IF(Table13[[#This Row],[WAYR Last]]&gt;0,IF(Table13[[#This Row],[WAYR Current]]&gt;0,(Table13[[#This Row],[WAYR Current]]-Table13[[#This Row],[WAYR Last]]),""),"")</f>
        <v>9.9999999999997868E-3</v>
      </c>
      <c r="AG441" s="78"/>
      <c r="AH441" s="13"/>
      <c r="AN441" s="78"/>
      <c r="AP441" s="77"/>
      <c r="AU441" s="78"/>
      <c r="AV441" s="64"/>
      <c r="AX441" s="78"/>
      <c r="AY441" s="13"/>
    </row>
    <row r="442" spans="1:51" x14ac:dyDescent="0.2">
      <c r="A442" s="9">
        <v>44279</v>
      </c>
      <c r="B442" s="10" t="s">
        <v>236</v>
      </c>
      <c r="C442" s="5">
        <v>364</v>
      </c>
      <c r="D442" s="5" t="s">
        <v>20</v>
      </c>
      <c r="E442" s="11">
        <v>20000</v>
      </c>
      <c r="F442" s="11">
        <v>20000</v>
      </c>
      <c r="G442" s="11">
        <v>1323</v>
      </c>
      <c r="H442" s="78">
        <v>5.1100000000000003</v>
      </c>
      <c r="I442" s="65">
        <v>5.1100000000000003</v>
      </c>
      <c r="J442" s="12">
        <f t="array" ref="J44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44644</v>
      </c>
      <c r="K442" s="59">
        <f>IFERROR(Table13[[#This Row],[Bid Accepted]]*(Table13[[#This Row],[WAYR Current]]%/364*Table13[[#This Row],[Days To Maturity]]),0)</f>
        <v>67.605300000000014</v>
      </c>
      <c r="L442" s="41">
        <f>+Table13[[#This Row],[Bid Accepted]]-Table13[[#This Row],[Amount Offered]]</f>
        <v>-18677</v>
      </c>
      <c r="M442" s="57">
        <f>+IF(Table13[[#This Row],[WAYR Last]]&gt;0,IF(Table13[[#This Row],[WAYR Current]]&gt;0,(Table13[[#This Row],[WAYR Current]]-Table13[[#This Row],[WAYR Last]]),""),"")</f>
        <v>0</v>
      </c>
      <c r="AG442" s="78"/>
      <c r="AH442" s="13"/>
      <c r="AN442" s="78"/>
      <c r="AP442" s="77"/>
      <c r="AU442" s="78"/>
      <c r="AV442" s="64"/>
      <c r="AX442" s="78"/>
      <c r="AY442" s="13"/>
    </row>
    <row r="443" spans="1:51" x14ac:dyDescent="0.2">
      <c r="A443" s="9">
        <v>44285</v>
      </c>
      <c r="B443" s="10" t="s">
        <v>237</v>
      </c>
      <c r="C443" s="5">
        <v>91</v>
      </c>
      <c r="D443" s="5" t="s">
        <v>20</v>
      </c>
      <c r="E443" s="11">
        <v>10000</v>
      </c>
      <c r="F443" s="11">
        <v>10160</v>
      </c>
      <c r="G443" s="11">
        <v>2985</v>
      </c>
      <c r="H443" s="78">
        <v>5.05</v>
      </c>
      <c r="I443" s="65">
        <v>5.04</v>
      </c>
      <c r="J443" s="12">
        <f t="array" ref="J44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44377</v>
      </c>
      <c r="K443" s="59">
        <f>IFERROR(Table13[[#This Row],[Bid Accepted]]*(Table13[[#This Row],[WAYR Current]]%/364*Table13[[#This Row],[Days To Maturity]]),0)</f>
        <v>37.685625000000002</v>
      </c>
      <c r="L443" s="41">
        <f>+Table13[[#This Row],[Bid Accepted]]-Table13[[#This Row],[Amount Offered]]</f>
        <v>-7015</v>
      </c>
      <c r="M443" s="57">
        <f>+IF(Table13[[#This Row],[WAYR Last]]&gt;0,IF(Table13[[#This Row],[WAYR Current]]&gt;0,(Table13[[#This Row],[WAYR Current]]-Table13[[#This Row],[WAYR Last]]),""),"")</f>
        <v>9.9999999999997868E-3</v>
      </c>
      <c r="AG443" s="78"/>
      <c r="AH443" s="13"/>
      <c r="AN443" s="78"/>
      <c r="AP443" s="77"/>
      <c r="AU443" s="78"/>
      <c r="AV443" s="64"/>
      <c r="AX443" s="78"/>
      <c r="AY443" s="13"/>
    </row>
    <row r="444" spans="1:51" x14ac:dyDescent="0.2">
      <c r="A444" s="9">
        <v>44285</v>
      </c>
      <c r="B444" s="10" t="s">
        <v>238</v>
      </c>
      <c r="C444" s="5">
        <v>182</v>
      </c>
      <c r="D444" s="5" t="s">
        <v>20</v>
      </c>
      <c r="E444" s="11">
        <v>15000</v>
      </c>
      <c r="F444" s="11">
        <v>16279</v>
      </c>
      <c r="G444" s="11">
        <v>7279</v>
      </c>
      <c r="H444" s="78">
        <v>5.0999999999999996</v>
      </c>
      <c r="I444" s="65">
        <v>5.08</v>
      </c>
      <c r="J444" s="12">
        <f t="array" ref="J44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44469</v>
      </c>
      <c r="K444" s="59">
        <f>IFERROR(Table13[[#This Row],[Bid Accepted]]*(Table13[[#This Row],[WAYR Current]]%/364*Table13[[#This Row],[Days To Maturity]]),0)</f>
        <v>185.61449999999996</v>
      </c>
      <c r="L444" s="41">
        <f>+Table13[[#This Row],[Bid Accepted]]-Table13[[#This Row],[Amount Offered]]</f>
        <v>-7721</v>
      </c>
      <c r="M444" s="57">
        <f>+IF(Table13[[#This Row],[WAYR Last]]&gt;0,IF(Table13[[#This Row],[WAYR Current]]&gt;0,(Table13[[#This Row],[WAYR Current]]-Table13[[#This Row],[WAYR Last]]),""),"")</f>
        <v>1.9999999999999574E-2</v>
      </c>
      <c r="AG444" s="78"/>
      <c r="AH444" s="13"/>
      <c r="AN444" s="78"/>
      <c r="AP444" s="77"/>
      <c r="AU444" s="78"/>
      <c r="AV444" s="64"/>
      <c r="AX444" s="78"/>
      <c r="AY444" s="13"/>
    </row>
    <row r="445" spans="1:51" x14ac:dyDescent="0.2">
      <c r="A445" s="9">
        <v>44285</v>
      </c>
      <c r="B445" s="10" t="s">
        <v>239</v>
      </c>
      <c r="C445" s="5">
        <v>364</v>
      </c>
      <c r="D445" s="5" t="s">
        <v>20</v>
      </c>
      <c r="E445" s="14">
        <v>20000</v>
      </c>
      <c r="F445" s="14">
        <v>20000</v>
      </c>
      <c r="G445" s="14" t="s">
        <v>189</v>
      </c>
      <c r="H445" s="33" t="s">
        <v>189</v>
      </c>
      <c r="I445" s="33">
        <v>5.1100000000000003</v>
      </c>
      <c r="J445" s="12">
        <f t="array" ref="J44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44650</v>
      </c>
      <c r="K445" s="59">
        <f>IFERROR(Table13[[#This Row],[Bid Accepted]]*(Table13[[#This Row],[WAYR Current]]%/364*Table13[[#This Row],[Days To Maturity]]),0)</f>
        <v>0</v>
      </c>
      <c r="L445" s="41" t="e">
        <f>+Table13[[#This Row],[Bid Accepted]]-Table13[[#This Row],[Amount Offered]]</f>
        <v>#VALUE!</v>
      </c>
      <c r="M445" s="57" t="e">
        <f>+IF(Table13[[#This Row],[WAYR Last]]&gt;0,IF(Table13[[#This Row],[WAYR Current]]&gt;0,(Table13[[#This Row],[WAYR Current]]-Table13[[#This Row],[WAYR Last]]),""),"")</f>
        <v>#VALUE!</v>
      </c>
      <c r="AG445" s="78"/>
      <c r="AH445" s="13"/>
      <c r="AN445" s="78"/>
      <c r="AP445" s="77"/>
      <c r="AU445" s="78"/>
      <c r="AV445" s="64"/>
      <c r="AX445" s="78"/>
      <c r="AY445" s="13"/>
    </row>
    <row r="446" spans="1:51" x14ac:dyDescent="0.2">
      <c r="A446" s="9">
        <v>44293</v>
      </c>
      <c r="B446" s="10" t="s">
        <v>240</v>
      </c>
      <c r="C446" s="5">
        <v>91</v>
      </c>
      <c r="D446" s="5" t="s">
        <v>20</v>
      </c>
      <c r="E446" s="11">
        <v>10000</v>
      </c>
      <c r="F446" s="11">
        <v>25067</v>
      </c>
      <c r="G446" s="11">
        <v>17427</v>
      </c>
      <c r="H446" s="78">
        <v>5.08</v>
      </c>
      <c r="I446" s="65">
        <v>5.05</v>
      </c>
      <c r="J446" s="12">
        <f t="array" ref="J44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44384</v>
      </c>
      <c r="K446" s="59">
        <f>IFERROR(Table13[[#This Row],[Bid Accepted]]*(Table13[[#This Row],[WAYR Current]]%/364*Table13[[#This Row],[Days To Maturity]]),0)</f>
        <v>221.3229</v>
      </c>
      <c r="L446" s="41">
        <f>+Table13[[#This Row],[Bid Accepted]]-Table13[[#This Row],[Amount Offered]]</f>
        <v>7427</v>
      </c>
      <c r="M446" s="57">
        <f>+IF(Table13[[#This Row],[WAYR Last]]&gt;0,IF(Table13[[#This Row],[WAYR Current]]&gt;0,(Table13[[#This Row],[WAYR Current]]-Table13[[#This Row],[WAYR Last]]),""),"")</f>
        <v>3.0000000000000249E-2</v>
      </c>
      <c r="AG446" s="78"/>
      <c r="AH446" s="13"/>
      <c r="AN446" s="78"/>
      <c r="AP446" s="77"/>
      <c r="AU446" s="78"/>
      <c r="AV446" s="64"/>
      <c r="AX446" s="78"/>
      <c r="AY446" s="13"/>
    </row>
    <row r="447" spans="1:51" x14ac:dyDescent="0.2">
      <c r="A447" s="9">
        <v>44293</v>
      </c>
      <c r="B447" s="10" t="s">
        <v>241</v>
      </c>
      <c r="C447" s="5">
        <v>182</v>
      </c>
      <c r="D447" s="5" t="s">
        <v>20</v>
      </c>
      <c r="E447" s="14">
        <v>15000</v>
      </c>
      <c r="F447" s="14">
        <v>15677</v>
      </c>
      <c r="G447" s="14">
        <v>1277</v>
      </c>
      <c r="H447" s="33">
        <v>5.12</v>
      </c>
      <c r="I447" s="33">
        <v>5.0999999999999996</v>
      </c>
      <c r="J447" s="12">
        <f t="array" ref="J44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44476</v>
      </c>
      <c r="K447" s="59">
        <f>IFERROR(Table13[[#This Row],[Bid Accepted]]*(Table13[[#This Row],[WAYR Current]]%/364*Table13[[#This Row],[Days To Maturity]]),0)</f>
        <v>32.691200000000002</v>
      </c>
      <c r="L447" s="41">
        <f>+Table13[[#This Row],[Bid Accepted]]-Table13[[#This Row],[Amount Offered]]</f>
        <v>-13723</v>
      </c>
      <c r="M447" s="57">
        <f>+IF(Table13[[#This Row],[WAYR Last]]&gt;0,IF(Table13[[#This Row],[WAYR Current]]&gt;0,(Table13[[#This Row],[WAYR Current]]-Table13[[#This Row],[WAYR Last]]),""),"")</f>
        <v>2.0000000000000462E-2</v>
      </c>
      <c r="AG447" s="78"/>
      <c r="AH447" s="13"/>
      <c r="AN447" s="78"/>
      <c r="AP447" s="77"/>
      <c r="AU447" s="78"/>
      <c r="AV447" s="64"/>
      <c r="AX447" s="78"/>
      <c r="AY447" s="13"/>
    </row>
    <row r="448" spans="1:51" x14ac:dyDescent="0.2">
      <c r="A448" s="9">
        <v>44293</v>
      </c>
      <c r="B448" s="10" t="s">
        <v>242</v>
      </c>
      <c r="C448" s="5">
        <v>364</v>
      </c>
      <c r="D448" s="5" t="s">
        <v>20</v>
      </c>
      <c r="E448" s="11">
        <v>20000</v>
      </c>
      <c r="F448" s="11">
        <v>20000</v>
      </c>
      <c r="G448" s="11">
        <v>200</v>
      </c>
      <c r="H448" s="78">
        <v>5.15</v>
      </c>
      <c r="I448" s="65">
        <v>5.1100000000000003</v>
      </c>
      <c r="J448" s="12">
        <f t="array" ref="J44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44658</v>
      </c>
      <c r="K448" s="59">
        <f>IFERROR(Table13[[#This Row],[Bid Accepted]]*(Table13[[#This Row],[WAYR Current]]%/364*Table13[[#This Row],[Days To Maturity]]),0)</f>
        <v>10.3</v>
      </c>
      <c r="L448" s="41">
        <f>+Table13[[#This Row],[Bid Accepted]]-Table13[[#This Row],[Amount Offered]]</f>
        <v>-19800</v>
      </c>
      <c r="M448" s="57">
        <f>+IF(Table13[[#This Row],[WAYR Last]]&gt;0,IF(Table13[[#This Row],[WAYR Current]]&gt;0,(Table13[[#This Row],[WAYR Current]]-Table13[[#This Row],[WAYR Last]]),""),"")</f>
        <v>4.0000000000000036E-2</v>
      </c>
      <c r="O448" s="77">
        <f>+Table13[[#This Row],[Bid Received]]/Table13[[#This Row],[Amount Offered]]</f>
        <v>1</v>
      </c>
      <c r="P448" s="77" t="e">
        <f>+G445/E445</f>
        <v>#VALUE!</v>
      </c>
      <c r="AG448" s="78"/>
      <c r="AH448" s="13"/>
      <c r="AN448" s="78"/>
      <c r="AP448" s="77"/>
      <c r="AU448" s="78"/>
      <c r="AV448" s="64"/>
      <c r="AX448" s="78"/>
      <c r="AY448" s="13"/>
    </row>
    <row r="449" spans="1:51" x14ac:dyDescent="0.2">
      <c r="A449" s="9">
        <v>44298</v>
      </c>
      <c r="B449" s="10" t="s">
        <v>243</v>
      </c>
      <c r="C449" s="5">
        <v>91</v>
      </c>
      <c r="D449" s="5" t="s">
        <v>20</v>
      </c>
      <c r="E449" s="14">
        <v>8000</v>
      </c>
      <c r="F449" s="14">
        <v>29468</v>
      </c>
      <c r="G449" s="14">
        <v>24643</v>
      </c>
      <c r="H449" s="33">
        <v>5.09</v>
      </c>
      <c r="I449" s="33">
        <v>5.08</v>
      </c>
      <c r="J449" s="12">
        <f t="array" ref="J44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44389</v>
      </c>
      <c r="K449" s="59">
        <f>IFERROR(Table13[[#This Row],[Bid Accepted]]*(Table13[[#This Row],[WAYR Current]]%/364*Table13[[#This Row],[Days To Maturity]]),0)</f>
        <v>313.58217500000006</v>
      </c>
      <c r="L449" s="41">
        <f>+Table13[[#This Row],[Bid Accepted]]-Table13[[#This Row],[Amount Offered]]</f>
        <v>16643</v>
      </c>
      <c r="M449" s="57">
        <f>+IF(Table13[[#This Row],[WAYR Last]]&gt;0,IF(Table13[[#This Row],[WAYR Current]]&gt;0,(Table13[[#This Row],[WAYR Current]]-Table13[[#This Row],[WAYR Last]]),""),"")</f>
        <v>9.9999999999997868E-3</v>
      </c>
      <c r="O449" s="77">
        <f>+Table13[[#This Row],[Bid Received]]/Table13[[#This Row],[Amount Offered]]</f>
        <v>3.6835</v>
      </c>
      <c r="P449" s="77">
        <f>+G446/E446</f>
        <v>1.7426999999999999</v>
      </c>
      <c r="AG449" s="78"/>
      <c r="AH449" s="13"/>
      <c r="AN449" s="78"/>
      <c r="AP449" s="77"/>
      <c r="AU449" s="78"/>
      <c r="AV449" s="64"/>
      <c r="AX449" s="78"/>
      <c r="AY449" s="13"/>
    </row>
    <row r="450" spans="1:51" x14ac:dyDescent="0.2">
      <c r="A450" s="9">
        <v>44298</v>
      </c>
      <c r="B450" s="10" t="s">
        <v>244</v>
      </c>
      <c r="C450" s="5">
        <v>182</v>
      </c>
      <c r="D450" s="5" t="s">
        <v>20</v>
      </c>
      <c r="E450" s="11">
        <v>15000</v>
      </c>
      <c r="F450" s="11">
        <v>24250</v>
      </c>
      <c r="G450" s="11">
        <v>10600</v>
      </c>
      <c r="H450" s="78">
        <v>5.12</v>
      </c>
      <c r="I450" s="65">
        <v>5.12</v>
      </c>
      <c r="J450" s="12">
        <f t="array" ref="J45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44481</v>
      </c>
      <c r="K450" s="59">
        <f>IFERROR(Table13[[#This Row],[Bid Accepted]]*(Table13[[#This Row],[WAYR Current]]%/364*Table13[[#This Row],[Days To Maturity]]),0)</f>
        <v>271.36</v>
      </c>
      <c r="L450" s="41">
        <f>+Table13[[#This Row],[Bid Accepted]]-Table13[[#This Row],[Amount Offered]]</f>
        <v>-4400</v>
      </c>
      <c r="M450" s="57">
        <f>+IF(Table13[[#This Row],[WAYR Last]]&gt;0,IF(Table13[[#This Row],[WAYR Current]]&gt;0,(Table13[[#This Row],[WAYR Current]]-Table13[[#This Row],[WAYR Last]]),""),"")</f>
        <v>0</v>
      </c>
      <c r="O450" s="77">
        <f>+Table13[[#This Row],[Bid Received]]/Table13[[#This Row],[Amount Offered]]</f>
        <v>1.6166666666666667</v>
      </c>
      <c r="P450" s="77">
        <f>+G447/E447</f>
        <v>8.5133333333333339E-2</v>
      </c>
      <c r="AG450" s="78"/>
      <c r="AH450" s="13"/>
      <c r="AN450" s="78"/>
      <c r="AP450" s="77"/>
      <c r="AU450" s="78"/>
      <c r="AV450" s="64"/>
      <c r="AX450" s="78"/>
      <c r="AY450" s="13"/>
    </row>
    <row r="451" spans="1:51" x14ac:dyDescent="0.2">
      <c r="A451" s="9">
        <v>44298</v>
      </c>
      <c r="B451" s="10" t="s">
        <v>245</v>
      </c>
      <c r="C451" s="5">
        <v>364</v>
      </c>
      <c r="D451" s="5" t="s">
        <v>20</v>
      </c>
      <c r="E451" s="11">
        <v>22000</v>
      </c>
      <c r="F451" s="11">
        <v>22300</v>
      </c>
      <c r="G451" s="11">
        <v>225</v>
      </c>
      <c r="H451" s="78">
        <v>5.15</v>
      </c>
      <c r="I451" s="65">
        <v>5.15</v>
      </c>
      <c r="J451" s="12">
        <f t="array" ref="J45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44663</v>
      </c>
      <c r="K451" s="59">
        <f>IFERROR(Table13[[#This Row],[Bid Accepted]]*(Table13[[#This Row],[WAYR Current]]%/364*Table13[[#This Row],[Days To Maturity]]),0)</f>
        <v>11.5875</v>
      </c>
      <c r="L451" s="41">
        <f>+Table13[[#This Row],[Bid Accepted]]-Table13[[#This Row],[Amount Offered]]</f>
        <v>-21775</v>
      </c>
      <c r="M451" s="57">
        <f>+IF(Table13[[#This Row],[WAYR Last]]&gt;0,IF(Table13[[#This Row],[WAYR Current]]&gt;0,(Table13[[#This Row],[WAYR Current]]-Table13[[#This Row],[WAYR Last]]),""),"")</f>
        <v>0</v>
      </c>
      <c r="O451" s="77">
        <f>+Table13[[#This Row],[Bid Received]]/Table13[[#This Row],[Amount Offered]]</f>
        <v>1.0136363636363637</v>
      </c>
      <c r="P451" s="77">
        <f>+G448/E448</f>
        <v>0.01</v>
      </c>
      <c r="AG451" s="78"/>
      <c r="AH451" s="13"/>
      <c r="AN451" s="78"/>
      <c r="AP451" s="77"/>
      <c r="AU451" s="78"/>
      <c r="AV451" s="64"/>
      <c r="AX451" s="78"/>
      <c r="AY451" s="13"/>
    </row>
    <row r="452" spans="1:51" x14ac:dyDescent="0.2">
      <c r="A452" s="34">
        <v>44307</v>
      </c>
      <c r="B452" s="35" t="s">
        <v>246</v>
      </c>
      <c r="C452" s="54">
        <v>91</v>
      </c>
      <c r="D452" s="5" t="s">
        <v>20</v>
      </c>
      <c r="E452" s="36">
        <v>10000</v>
      </c>
      <c r="F452" s="36">
        <v>48410</v>
      </c>
      <c r="G452" s="36">
        <v>34915</v>
      </c>
      <c r="H452" s="57">
        <v>5.0999999999999996</v>
      </c>
      <c r="I452" s="57">
        <v>5.09</v>
      </c>
      <c r="J452" s="32">
        <f t="array" ref="J45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44398</v>
      </c>
      <c r="K452" s="59">
        <f>IFERROR(Table13[[#This Row],[Bid Accepted]]*(Table13[[#This Row],[WAYR Current]]%/364*Table13[[#This Row],[Days To Maturity]]),0)</f>
        <v>445.16624999999993</v>
      </c>
      <c r="L452" s="41">
        <f>+Table13[[#This Row],[Bid Accepted]]-Table13[[#This Row],[Amount Offered]]</f>
        <v>24915</v>
      </c>
      <c r="M452" s="57">
        <f>+IF(Table13[[#This Row],[WAYR Last]]&gt;0,IF(Table13[[#This Row],[WAYR Current]]&gt;0,(Table13[[#This Row],[WAYR Current]]-Table13[[#This Row],[WAYR Last]]),""),"")</f>
        <v>9.9999999999997868E-3</v>
      </c>
      <c r="O452" s="77">
        <f>+Table13[[#This Row],[Bid Received]]/Table13[[#This Row],[Amount Offered]]</f>
        <v>4.8410000000000002</v>
      </c>
      <c r="P452" s="77">
        <f>+Table13[[#This Row],[Bid Accepted]]/Table13[[#This Row],[Amount Offered]]</f>
        <v>3.4914999999999998</v>
      </c>
      <c r="AG452" s="78"/>
      <c r="AH452" s="13"/>
      <c r="AN452" s="78"/>
      <c r="AP452" s="77"/>
      <c r="AU452" s="78"/>
      <c r="AV452" s="64"/>
      <c r="AX452" s="78"/>
      <c r="AY452" s="13"/>
    </row>
    <row r="453" spans="1:51" x14ac:dyDescent="0.2">
      <c r="A453" s="9">
        <v>44307</v>
      </c>
      <c r="B453" s="10" t="s">
        <v>247</v>
      </c>
      <c r="C453" s="5">
        <v>182</v>
      </c>
      <c r="D453" s="5" t="s">
        <v>20</v>
      </c>
      <c r="E453" s="14">
        <v>15000</v>
      </c>
      <c r="F453" s="14">
        <v>17651</v>
      </c>
      <c r="G453" s="14">
        <v>1151</v>
      </c>
      <c r="H453" s="33">
        <v>5.13</v>
      </c>
      <c r="I453" s="33">
        <v>5.12</v>
      </c>
      <c r="J453" s="32">
        <f t="array" ref="J45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44490</v>
      </c>
      <c r="K453" s="59">
        <f>IFERROR(Table13[[#This Row],[Bid Accepted]]*(Table13[[#This Row],[WAYR Current]]%/364*Table13[[#This Row],[Days To Maturity]]),0)</f>
        <v>29.523149999999998</v>
      </c>
      <c r="L453" s="41">
        <f>+Table13[[#This Row],[Bid Accepted]]-Table13[[#This Row],[Amount Offered]]</f>
        <v>-13849</v>
      </c>
      <c r="M453" s="57">
        <f>+IF(Table13[[#This Row],[WAYR Last]]&gt;0,IF(Table13[[#This Row],[WAYR Current]]&gt;0,(Table13[[#This Row],[WAYR Current]]-Table13[[#This Row],[WAYR Last]]),""),"")</f>
        <v>9.9999999999997868E-3</v>
      </c>
      <c r="O453" s="77">
        <f>+Table13[[#This Row],[Bid Received]]/Table13[[#This Row],[Amount Offered]]</f>
        <v>1.1767333333333334</v>
      </c>
      <c r="P453" s="77">
        <f>+Table13[[#This Row],[Bid Accepted]]/Table13[[#This Row],[Amount Offered]]</f>
        <v>7.6733333333333334E-2</v>
      </c>
      <c r="AG453" s="78"/>
      <c r="AH453" s="13"/>
      <c r="AN453" s="78"/>
      <c r="AP453" s="77"/>
      <c r="AU453" s="78"/>
      <c r="AV453" s="64"/>
      <c r="AX453" s="78"/>
      <c r="AY453" s="13"/>
    </row>
    <row r="454" spans="1:51" x14ac:dyDescent="0.2">
      <c r="A454" s="34">
        <v>44307</v>
      </c>
      <c r="B454" s="35" t="s">
        <v>248</v>
      </c>
      <c r="C454" s="54">
        <v>364</v>
      </c>
      <c r="D454" s="5" t="s">
        <v>20</v>
      </c>
      <c r="E454" s="36">
        <v>20000</v>
      </c>
      <c r="F454" s="36">
        <v>20000</v>
      </c>
      <c r="G454" s="36">
        <v>500</v>
      </c>
      <c r="H454" s="57">
        <v>5.18</v>
      </c>
      <c r="I454" s="57">
        <v>5.15</v>
      </c>
      <c r="J454" s="32">
        <f t="array" ref="J45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44672</v>
      </c>
      <c r="K454" s="59">
        <f>IFERROR(Table13[[#This Row],[Bid Accepted]]*(Table13[[#This Row],[WAYR Current]]%/364*Table13[[#This Row],[Days To Maturity]]),0)</f>
        <v>25.9</v>
      </c>
      <c r="L454" s="41">
        <f>+Table13[[#This Row],[Bid Accepted]]-Table13[[#This Row],[Amount Offered]]</f>
        <v>-19500</v>
      </c>
      <c r="M454" s="57">
        <f>+IF(Table13[[#This Row],[WAYR Last]]&gt;0,IF(Table13[[#This Row],[WAYR Current]]&gt;0,(Table13[[#This Row],[WAYR Current]]-Table13[[#This Row],[WAYR Last]]),""),"")</f>
        <v>2.9999999999999361E-2</v>
      </c>
      <c r="O454" s="77">
        <f>+Table13[[#This Row],[Bid Received]]/Table13[[#This Row],[Amount Offered]]</f>
        <v>1</v>
      </c>
      <c r="P454" s="77">
        <f>+Table13[[#This Row],[Bid Accepted]]/Table13[[#This Row],[Amount Offered]]</f>
        <v>2.5000000000000001E-2</v>
      </c>
      <c r="AG454" s="78"/>
      <c r="AH454" s="13"/>
      <c r="AN454" s="78"/>
      <c r="AP454" s="77"/>
      <c r="AU454" s="78"/>
      <c r="AV454" s="64"/>
      <c r="AX454" s="78"/>
      <c r="AY454" s="13"/>
    </row>
    <row r="455" spans="1:51" x14ac:dyDescent="0.2">
      <c r="A455" s="34">
        <v>44314</v>
      </c>
      <c r="B455" s="35" t="s">
        <v>249</v>
      </c>
      <c r="C455" s="54">
        <v>91</v>
      </c>
      <c r="D455" s="54"/>
      <c r="E455" s="36">
        <v>9000</v>
      </c>
      <c r="F455" s="36">
        <v>28040</v>
      </c>
      <c r="G455" s="36">
        <v>24085</v>
      </c>
      <c r="H455" s="57">
        <v>5.1100000000000003</v>
      </c>
      <c r="I455" s="57">
        <v>5.0999999999999996</v>
      </c>
      <c r="J455" s="32">
        <f t="array" ref="J45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44405</v>
      </c>
      <c r="K455" s="59">
        <f>IFERROR(Table13[[#This Row],[Bid Accepted]]*(Table13[[#This Row],[WAYR Current]]%/364*Table13[[#This Row],[Days To Maturity]]),0)</f>
        <v>307.68587500000007</v>
      </c>
      <c r="L455" s="41">
        <f>+Table13[[#This Row],[Bid Accepted]]-Table13[[#This Row],[Amount Offered]]</f>
        <v>15085</v>
      </c>
      <c r="M455" s="57">
        <f>+IF(Table13[[#This Row],[WAYR Last]]&gt;0,IF(Table13[[#This Row],[WAYR Current]]&gt;0,(Table13[[#This Row],[WAYR Current]]-Table13[[#This Row],[WAYR Last]]),""),"")</f>
        <v>1.0000000000000675E-2</v>
      </c>
      <c r="O455" s="77">
        <f>+Table13[[#This Row],[Bid Received]]/Table13[[#This Row],[Amount Offered]]</f>
        <v>3.1155555555555554</v>
      </c>
      <c r="P455" s="77">
        <f>+Table13[[#This Row],[Bid Accepted]]/Table13[[#This Row],[Amount Offered]]</f>
        <v>2.6761111111111111</v>
      </c>
      <c r="AG455" s="78"/>
      <c r="AH455" s="13"/>
      <c r="AN455" s="78"/>
      <c r="AP455" s="77"/>
      <c r="AU455" s="78"/>
      <c r="AV455" s="64"/>
      <c r="AX455" s="78"/>
      <c r="AY455" s="13"/>
    </row>
    <row r="456" spans="1:51" x14ac:dyDescent="0.2">
      <c r="A456" s="34">
        <v>44314</v>
      </c>
      <c r="B456" s="35" t="s">
        <v>250</v>
      </c>
      <c r="C456" s="54">
        <v>182</v>
      </c>
      <c r="D456" s="54"/>
      <c r="E456" s="36">
        <v>18000</v>
      </c>
      <c r="F456" s="36">
        <v>18359</v>
      </c>
      <c r="G456" s="36">
        <v>4034</v>
      </c>
      <c r="H456" s="57">
        <v>5.14</v>
      </c>
      <c r="I456" s="57">
        <v>5.13</v>
      </c>
      <c r="J456" s="32">
        <f t="array" ref="J45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44497</v>
      </c>
      <c r="K456" s="59">
        <f>IFERROR(Table13[[#This Row],[Bid Accepted]]*(Table13[[#This Row],[WAYR Current]]%/364*Table13[[#This Row],[Days To Maturity]]),0)</f>
        <v>103.67379999999999</v>
      </c>
      <c r="L456" s="41">
        <f>+Table13[[#This Row],[Bid Accepted]]-Table13[[#This Row],[Amount Offered]]</f>
        <v>-13966</v>
      </c>
      <c r="M456" s="57">
        <f>+IF(Table13[[#This Row],[WAYR Last]]&gt;0,IF(Table13[[#This Row],[WAYR Current]]&gt;0,(Table13[[#This Row],[WAYR Current]]-Table13[[#This Row],[WAYR Last]]),""),"")</f>
        <v>9.9999999999997868E-3</v>
      </c>
      <c r="O456" s="77">
        <f>+Table13[[#This Row],[Bid Received]]/Table13[[#This Row],[Amount Offered]]</f>
        <v>1.0199444444444445</v>
      </c>
      <c r="P456" s="77">
        <f>+Table13[[#This Row],[Bid Accepted]]/Table13[[#This Row],[Amount Offered]]</f>
        <v>0.22411111111111112</v>
      </c>
      <c r="AG456" s="78"/>
      <c r="AH456" s="13"/>
      <c r="AN456" s="78"/>
      <c r="AP456" s="77"/>
      <c r="AU456" s="78"/>
      <c r="AV456" s="64"/>
      <c r="AX456" s="78"/>
      <c r="AY456" s="13"/>
    </row>
    <row r="457" spans="1:51" x14ac:dyDescent="0.2">
      <c r="A457" s="34">
        <v>44314</v>
      </c>
      <c r="B457" s="35" t="s">
        <v>251</v>
      </c>
      <c r="C457" s="54">
        <v>364</v>
      </c>
      <c r="D457" s="54"/>
      <c r="E457" s="36">
        <v>18000</v>
      </c>
      <c r="F457" s="36">
        <v>18000</v>
      </c>
      <c r="G457" s="36">
        <v>1775</v>
      </c>
      <c r="H457" s="57">
        <v>5.18</v>
      </c>
      <c r="I457" s="57">
        <v>5.18</v>
      </c>
      <c r="J457" s="32">
        <f t="array" ref="J45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44679</v>
      </c>
      <c r="K457" s="59">
        <f>IFERROR(Table13[[#This Row],[Bid Accepted]]*(Table13[[#This Row],[WAYR Current]]%/364*Table13[[#This Row],[Days To Maturity]]),0)</f>
        <v>91.944999999999993</v>
      </c>
      <c r="L457" s="41">
        <f>+Table13[[#This Row],[Bid Accepted]]-Table13[[#This Row],[Amount Offered]]</f>
        <v>-16225</v>
      </c>
      <c r="M457" s="57">
        <f>+IF(Table13[[#This Row],[WAYR Last]]&gt;0,IF(Table13[[#This Row],[WAYR Current]]&gt;0,(Table13[[#This Row],[WAYR Current]]-Table13[[#This Row],[WAYR Last]]),""),"")</f>
        <v>0</v>
      </c>
      <c r="O457" s="77">
        <f>+Table13[[#This Row],[Bid Received]]/Table13[[#This Row],[Amount Offered]]</f>
        <v>1</v>
      </c>
      <c r="P457" s="77">
        <f>+Table13[[#This Row],[Bid Accepted]]/Table13[[#This Row],[Amount Offered]]</f>
        <v>9.8611111111111108E-2</v>
      </c>
      <c r="AG457" s="78"/>
      <c r="AH457" s="13"/>
      <c r="AN457" s="78"/>
      <c r="AP457" s="77"/>
      <c r="AU457" s="78"/>
      <c r="AV457" s="64"/>
      <c r="AX457" s="78"/>
      <c r="AY457" s="13"/>
    </row>
    <row r="458" spans="1:51" x14ac:dyDescent="0.2">
      <c r="A458" s="34">
        <v>44321</v>
      </c>
      <c r="B458" s="35" t="s">
        <v>252</v>
      </c>
      <c r="C458" s="54">
        <v>91</v>
      </c>
      <c r="D458" s="54"/>
      <c r="E458" s="36">
        <v>11000</v>
      </c>
      <c r="F458" s="36">
        <v>29469</v>
      </c>
      <c r="G458" s="36">
        <v>23949</v>
      </c>
      <c r="H458" s="57">
        <v>5.12</v>
      </c>
      <c r="I458" s="57">
        <v>5.1100000000000003</v>
      </c>
      <c r="J458" s="32">
        <f t="array" ref="J45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44413</v>
      </c>
      <c r="K458" s="59">
        <f>IFERROR(Table13[[#This Row],[Bid Accepted]]*(Table13[[#This Row],[WAYR Current]]%/364*Table13[[#This Row],[Days To Maturity]]),0)</f>
        <v>306.54720000000003</v>
      </c>
      <c r="L458" s="41">
        <f>+Table13[[#This Row],[Bid Accepted]]-Table13[[#This Row],[Amount Offered]]</f>
        <v>12949</v>
      </c>
      <c r="M458" s="57">
        <f>+IF(Table13[[#This Row],[WAYR Last]]&gt;0,IF(Table13[[#This Row],[WAYR Current]]&gt;0,(Table13[[#This Row],[WAYR Current]]-Table13[[#This Row],[WAYR Last]]),""),"")</f>
        <v>9.9999999999997868E-3</v>
      </c>
      <c r="O458" s="77">
        <f>+Table13[[#This Row],[Bid Received]]/Table13[[#This Row],[Amount Offered]]</f>
        <v>2.6789999999999998</v>
      </c>
      <c r="P458" s="77">
        <f>+Table13[[#This Row],[Bid Accepted]]/Table13[[#This Row],[Amount Offered]]</f>
        <v>2.1771818181818183</v>
      </c>
      <c r="AG458" s="78"/>
      <c r="AH458" s="13"/>
      <c r="AN458" s="78"/>
      <c r="AP458" s="77"/>
      <c r="AU458" s="78"/>
      <c r="AV458" s="64"/>
      <c r="AX458" s="78"/>
      <c r="AY458" s="13"/>
    </row>
    <row r="459" spans="1:51" x14ac:dyDescent="0.2">
      <c r="A459" s="34">
        <v>44321</v>
      </c>
      <c r="B459" s="35" t="s">
        <v>253</v>
      </c>
      <c r="C459" s="54">
        <v>182</v>
      </c>
      <c r="D459" s="54"/>
      <c r="E459" s="36">
        <v>15000</v>
      </c>
      <c r="F459" s="36">
        <v>23923</v>
      </c>
      <c r="G459" s="36">
        <v>10473</v>
      </c>
      <c r="H459" s="57">
        <v>5.14</v>
      </c>
      <c r="I459" s="57">
        <v>5.14</v>
      </c>
      <c r="J459" s="32">
        <f t="array" ref="J45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44505</v>
      </c>
      <c r="K459" s="59">
        <f>IFERROR(Table13[[#This Row],[Bid Accepted]]*(Table13[[#This Row],[WAYR Current]]%/364*Table13[[#This Row],[Days To Maturity]]),0)</f>
        <v>269.15609999999998</v>
      </c>
      <c r="L459" s="41">
        <f>+Table13[[#This Row],[Bid Accepted]]-Table13[[#This Row],[Amount Offered]]</f>
        <v>-4527</v>
      </c>
      <c r="M459" s="57">
        <f>+IF(Table13[[#This Row],[WAYR Last]]&gt;0,IF(Table13[[#This Row],[WAYR Current]]&gt;0,(Table13[[#This Row],[WAYR Current]]-Table13[[#This Row],[WAYR Last]]),""),"")</f>
        <v>0</v>
      </c>
      <c r="O459" s="77">
        <f>+Table13[[#This Row],[Bid Received]]/Table13[[#This Row],[Amount Offered]]</f>
        <v>1.5948666666666667</v>
      </c>
      <c r="P459" s="77">
        <f>+Table13[[#This Row],[Bid Accepted]]/Table13[[#This Row],[Amount Offered]]</f>
        <v>0.69820000000000004</v>
      </c>
      <c r="AG459" s="78"/>
      <c r="AH459" s="13"/>
      <c r="AN459" s="78"/>
      <c r="AP459" s="77"/>
      <c r="AU459" s="78"/>
      <c r="AV459" s="64"/>
      <c r="AX459" s="78"/>
      <c r="AY459" s="13"/>
    </row>
    <row r="460" spans="1:51" x14ac:dyDescent="0.2">
      <c r="A460" s="34">
        <v>44321</v>
      </c>
      <c r="B460" s="35" t="s">
        <v>254</v>
      </c>
      <c r="C460" s="54">
        <v>364</v>
      </c>
      <c r="D460" s="54"/>
      <c r="E460" s="36">
        <v>19000</v>
      </c>
      <c r="F460" s="36">
        <v>19438</v>
      </c>
      <c r="G460" s="36">
        <v>488</v>
      </c>
      <c r="H460" s="57">
        <v>5.18</v>
      </c>
      <c r="I460" s="57">
        <v>5.18</v>
      </c>
      <c r="J460" s="32">
        <f t="array" ref="J46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44686</v>
      </c>
      <c r="K460" s="59">
        <f>IFERROR(Table13[[#This Row],[Bid Accepted]]*(Table13[[#This Row],[WAYR Current]]%/364*Table13[[#This Row],[Days To Maturity]]),0)</f>
        <v>25.278399999999998</v>
      </c>
      <c r="L460" s="41">
        <f>+Table13[[#This Row],[Bid Accepted]]-Table13[[#This Row],[Amount Offered]]</f>
        <v>-18512</v>
      </c>
      <c r="M460" s="57">
        <f>+IF(Table13[[#This Row],[WAYR Last]]&gt;0,IF(Table13[[#This Row],[WAYR Current]]&gt;0,(Table13[[#This Row],[WAYR Current]]-Table13[[#This Row],[WAYR Last]]),""),"")</f>
        <v>0</v>
      </c>
      <c r="O460" s="77">
        <f>+Table13[[#This Row],[Bid Received]]/Table13[[#This Row],[Amount Offered]]</f>
        <v>1.0230526315789474</v>
      </c>
      <c r="P460" s="77">
        <f>+Table13[[#This Row],[Bid Accepted]]/Table13[[#This Row],[Amount Offered]]</f>
        <v>2.5684210526315789E-2</v>
      </c>
      <c r="AG460" s="78"/>
      <c r="AH460" s="13"/>
      <c r="AN460" s="78"/>
      <c r="AP460" s="77"/>
      <c r="AU460" s="78"/>
      <c r="AV460" s="64"/>
      <c r="AX460" s="78"/>
      <c r="AY460" s="13"/>
    </row>
    <row r="461" spans="1:51" x14ac:dyDescent="0.2">
      <c r="A461" s="34">
        <v>44327</v>
      </c>
      <c r="B461" s="35" t="s">
        <v>255</v>
      </c>
      <c r="C461" s="54">
        <v>91</v>
      </c>
      <c r="D461" s="54"/>
      <c r="E461" s="36">
        <v>12000</v>
      </c>
      <c r="F461" s="36">
        <v>18382</v>
      </c>
      <c r="G461" s="36">
        <v>10132</v>
      </c>
      <c r="H461" s="57">
        <v>5.12</v>
      </c>
      <c r="I461" s="57">
        <v>5.12</v>
      </c>
      <c r="J461" s="32">
        <f t="array" ref="J46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44419</v>
      </c>
      <c r="K461" s="59">
        <f>IFERROR(Table13[[#This Row],[Bid Accepted]]*(Table13[[#This Row],[WAYR Current]]%/364*Table13[[#This Row],[Days To Maturity]]),0)</f>
        <v>129.68960000000001</v>
      </c>
      <c r="L461" s="41">
        <f>+Table13[[#This Row],[Bid Accepted]]-Table13[[#This Row],[Amount Offered]]</f>
        <v>-1868</v>
      </c>
      <c r="M461" s="57">
        <f>+IF(Table13[[#This Row],[WAYR Last]]&gt;0,IF(Table13[[#This Row],[WAYR Current]]&gt;0,(Table13[[#This Row],[WAYR Current]]-Table13[[#This Row],[WAYR Last]]),""),"")</f>
        <v>0</v>
      </c>
      <c r="O461" s="77">
        <f>+Table13[[#This Row],[Bid Received]]/Table13[[#This Row],[Amount Offered]]</f>
        <v>1.5318333333333334</v>
      </c>
      <c r="P461" s="77">
        <f>+Table13[[#This Row],[Bid Accepted]]/Table13[[#This Row],[Amount Offered]]</f>
        <v>0.84433333333333338</v>
      </c>
      <c r="AG461" s="78"/>
      <c r="AH461" s="13"/>
      <c r="AN461" s="78"/>
      <c r="AP461" s="77"/>
      <c r="AU461" s="78"/>
      <c r="AV461" s="64"/>
      <c r="AX461" s="78"/>
      <c r="AY461" s="13"/>
    </row>
    <row r="462" spans="1:51" x14ac:dyDescent="0.2">
      <c r="A462" s="34">
        <v>44327</v>
      </c>
      <c r="B462" s="35" t="s">
        <v>256</v>
      </c>
      <c r="C462" s="54">
        <v>182</v>
      </c>
      <c r="D462" s="54"/>
      <c r="E462" s="36">
        <v>16000</v>
      </c>
      <c r="F462" s="36">
        <v>25660</v>
      </c>
      <c r="G462" s="36">
        <v>10380</v>
      </c>
      <c r="H462" s="57">
        <v>5.14</v>
      </c>
      <c r="I462" s="57">
        <v>5.14</v>
      </c>
      <c r="J462" s="32">
        <f t="array" ref="J46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44511</v>
      </c>
      <c r="K462" s="59">
        <f>IFERROR(Table13[[#This Row],[Bid Accepted]]*(Table13[[#This Row],[WAYR Current]]%/364*Table13[[#This Row],[Days To Maturity]]),0)</f>
        <v>266.76599999999996</v>
      </c>
      <c r="L462" s="41">
        <f>+Table13[[#This Row],[Bid Accepted]]-Table13[[#This Row],[Amount Offered]]</f>
        <v>-5620</v>
      </c>
      <c r="M462" s="57">
        <f>+IF(Table13[[#This Row],[WAYR Last]]&gt;0,IF(Table13[[#This Row],[WAYR Current]]&gt;0,(Table13[[#This Row],[WAYR Current]]-Table13[[#This Row],[WAYR Last]]),""),"")</f>
        <v>0</v>
      </c>
      <c r="O462" s="77">
        <f>+Table13[[#This Row],[Bid Received]]/Table13[[#This Row],[Amount Offered]]</f>
        <v>1.60375</v>
      </c>
      <c r="P462" s="77">
        <f>+Table13[[#This Row],[Bid Accepted]]/Table13[[#This Row],[Amount Offered]]</f>
        <v>0.64875000000000005</v>
      </c>
      <c r="AG462" s="78"/>
      <c r="AH462" s="13"/>
      <c r="AN462" s="78"/>
      <c r="AP462" s="77"/>
      <c r="AU462" s="78"/>
      <c r="AV462" s="64"/>
      <c r="AX462" s="78"/>
      <c r="AY462" s="13"/>
    </row>
    <row r="463" spans="1:51" x14ac:dyDescent="0.2">
      <c r="A463" s="34">
        <v>44327</v>
      </c>
      <c r="B463" s="35" t="s">
        <v>257</v>
      </c>
      <c r="C463" s="54">
        <v>364</v>
      </c>
      <c r="D463" s="54"/>
      <c r="E463" s="36">
        <v>19000</v>
      </c>
      <c r="F463" s="36">
        <v>19030</v>
      </c>
      <c r="G463" s="36">
        <v>495</v>
      </c>
      <c r="H463" s="57">
        <v>5.18</v>
      </c>
      <c r="I463" s="57">
        <v>5.18</v>
      </c>
      <c r="J463" s="32">
        <f t="array" ref="J46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44692</v>
      </c>
      <c r="K463" s="59">
        <f>IFERROR(Table13[[#This Row],[Bid Accepted]]*(Table13[[#This Row],[WAYR Current]]%/364*Table13[[#This Row],[Days To Maturity]]),0)</f>
        <v>25.640999999999998</v>
      </c>
      <c r="L463" s="41">
        <f>+Table13[[#This Row],[Bid Accepted]]-Table13[[#This Row],[Amount Offered]]</f>
        <v>-18505</v>
      </c>
      <c r="M463" s="57">
        <f>+IF(Table13[[#This Row],[WAYR Last]]&gt;0,IF(Table13[[#This Row],[WAYR Current]]&gt;0,(Table13[[#This Row],[WAYR Current]]-Table13[[#This Row],[WAYR Last]]),""),"")</f>
        <v>0</v>
      </c>
      <c r="O463" s="77">
        <f>+Table13[[#This Row],[Bid Received]]/Table13[[#This Row],[Amount Offered]]</f>
        <v>1.0015789473684211</v>
      </c>
      <c r="P463" s="77">
        <f>+Table13[[#This Row],[Bid Accepted]]/Table13[[#This Row],[Amount Offered]]</f>
        <v>2.6052631578947369E-2</v>
      </c>
      <c r="AG463" s="78"/>
      <c r="AH463" s="13"/>
      <c r="AN463" s="78"/>
      <c r="AP463" s="77"/>
      <c r="AU463" s="78"/>
      <c r="AV463" s="64"/>
      <c r="AX463" s="78"/>
      <c r="AY463" s="13"/>
    </row>
    <row r="464" spans="1:51" x14ac:dyDescent="0.2">
      <c r="A464" s="34">
        <v>44335</v>
      </c>
      <c r="B464" s="35" t="s">
        <v>258</v>
      </c>
      <c r="C464" s="54">
        <v>91</v>
      </c>
      <c r="D464" s="54"/>
      <c r="E464" s="36">
        <v>12000</v>
      </c>
      <c r="F464" s="36">
        <v>32335</v>
      </c>
      <c r="G464" s="36">
        <v>27155</v>
      </c>
      <c r="H464" s="57">
        <v>5.12</v>
      </c>
      <c r="I464" s="57">
        <v>5.12</v>
      </c>
      <c r="J464" s="32">
        <f t="array" ref="J46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44427</v>
      </c>
      <c r="K464" s="59">
        <f>IFERROR(Table13[[#This Row],[Bid Accepted]]*(Table13[[#This Row],[WAYR Current]]%/364*Table13[[#This Row],[Days To Maturity]]),0)</f>
        <v>347.584</v>
      </c>
      <c r="L464" s="41">
        <f>+Table13[[#This Row],[Bid Accepted]]-Table13[[#This Row],[Amount Offered]]</f>
        <v>15155</v>
      </c>
      <c r="M464" s="57">
        <f>+IF(Table13[[#This Row],[WAYR Last]]&gt;0,IF(Table13[[#This Row],[WAYR Current]]&gt;0,(Table13[[#This Row],[WAYR Current]]-Table13[[#This Row],[WAYR Last]]),""),"")</f>
        <v>0</v>
      </c>
      <c r="O464" s="77">
        <f>+Table13[[#This Row],[Bid Received]]/Table13[[#This Row],[Amount Offered]]</f>
        <v>2.6945833333333336</v>
      </c>
      <c r="P464" s="77">
        <f>+Table13[[#This Row],[Bid Accepted]]/Table13[[#This Row],[Amount Offered]]</f>
        <v>2.2629166666666665</v>
      </c>
      <c r="AG464" s="78"/>
      <c r="AH464" s="13"/>
      <c r="AN464" s="78"/>
      <c r="AP464" s="77"/>
      <c r="AU464" s="78"/>
      <c r="AV464" s="64"/>
      <c r="AX464" s="78"/>
      <c r="AY464" s="13"/>
    </row>
    <row r="465" spans="1:51" x14ac:dyDescent="0.2">
      <c r="A465" s="34">
        <v>44335</v>
      </c>
      <c r="B465" s="35" t="s">
        <v>259</v>
      </c>
      <c r="C465" s="54">
        <v>182</v>
      </c>
      <c r="D465" s="54"/>
      <c r="E465" s="36">
        <v>16000</v>
      </c>
      <c r="F465" s="36">
        <v>28101</v>
      </c>
      <c r="G465" s="36">
        <v>15101</v>
      </c>
      <c r="H465" s="57">
        <v>5.14</v>
      </c>
      <c r="I465" s="57">
        <v>5.14</v>
      </c>
      <c r="J465" s="32">
        <f t="array" ref="J46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44519</v>
      </c>
      <c r="K465" s="59">
        <f>IFERROR(Table13[[#This Row],[Bid Accepted]]*(Table13[[#This Row],[WAYR Current]]%/364*Table13[[#This Row],[Days To Maturity]]),0)</f>
        <v>388.09569999999997</v>
      </c>
      <c r="L465" s="41">
        <f>+Table13[[#This Row],[Bid Accepted]]-Table13[[#This Row],[Amount Offered]]</f>
        <v>-899</v>
      </c>
      <c r="M465" s="57">
        <f>+IF(Table13[[#This Row],[WAYR Last]]&gt;0,IF(Table13[[#This Row],[WAYR Current]]&gt;0,(Table13[[#This Row],[WAYR Current]]-Table13[[#This Row],[WAYR Last]]),""),"")</f>
        <v>0</v>
      </c>
      <c r="O465" s="77">
        <f>+Table13[[#This Row],[Bid Received]]/Table13[[#This Row],[Amount Offered]]</f>
        <v>1.7563124999999999</v>
      </c>
      <c r="P465" s="77">
        <f>+Table13[[#This Row],[Bid Accepted]]/Table13[[#This Row],[Amount Offered]]</f>
        <v>0.94381250000000005</v>
      </c>
      <c r="AG465" s="78"/>
      <c r="AH465" s="13"/>
      <c r="AN465" s="78"/>
      <c r="AP465" s="77"/>
      <c r="AU465" s="78"/>
      <c r="AV465" s="64"/>
      <c r="AX465" s="78"/>
      <c r="AY465" s="13"/>
    </row>
    <row r="466" spans="1:51" x14ac:dyDescent="0.2">
      <c r="A466" s="34">
        <v>44335</v>
      </c>
      <c r="B466" s="35" t="s">
        <v>260</v>
      </c>
      <c r="C466" s="54">
        <v>364</v>
      </c>
      <c r="D466" s="54"/>
      <c r="E466" s="36">
        <v>19000</v>
      </c>
      <c r="F466" s="36">
        <v>19117</v>
      </c>
      <c r="G466" s="36">
        <v>177</v>
      </c>
      <c r="H466" s="57">
        <v>5.18</v>
      </c>
      <c r="I466" s="57">
        <v>5.18</v>
      </c>
      <c r="J466" s="32">
        <f t="array" ref="J46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44700</v>
      </c>
      <c r="K466" s="59">
        <f>IFERROR(Table13[[#This Row],[Bid Accepted]]*(Table13[[#This Row],[WAYR Current]]%/364*Table13[[#This Row],[Days To Maturity]]),0)</f>
        <v>9.1685999999999996</v>
      </c>
      <c r="L466" s="41">
        <f>+Table13[[#This Row],[Bid Accepted]]-Table13[[#This Row],[Amount Offered]]</f>
        <v>-18823</v>
      </c>
      <c r="M466" s="57">
        <f>+IF(Table13[[#This Row],[WAYR Last]]&gt;0,IF(Table13[[#This Row],[WAYR Current]]&gt;0,(Table13[[#This Row],[WAYR Current]]-Table13[[#This Row],[WAYR Last]]),""),"")</f>
        <v>0</v>
      </c>
      <c r="O466" s="77">
        <f>+Table13[[#This Row],[Bid Received]]/Table13[[#This Row],[Amount Offered]]</f>
        <v>1.0061578947368421</v>
      </c>
      <c r="P466" s="77">
        <f>+Table13[[#This Row],[Bid Accepted]]/Table13[[#This Row],[Amount Offered]]</f>
        <v>9.3157894736842113E-3</v>
      </c>
      <c r="AG466" s="78"/>
      <c r="AH466" s="13"/>
      <c r="AN466" s="78"/>
      <c r="AP466" s="77"/>
      <c r="AU466" s="78"/>
      <c r="AV466" s="64"/>
      <c r="AX466" s="78"/>
      <c r="AY466" s="13"/>
    </row>
    <row r="467" spans="1:51" x14ac:dyDescent="0.2">
      <c r="A467" s="34">
        <v>44340</v>
      </c>
      <c r="B467" s="35" t="s">
        <v>261</v>
      </c>
      <c r="C467" s="54">
        <v>91</v>
      </c>
      <c r="D467" s="54"/>
      <c r="E467" s="36">
        <v>8000</v>
      </c>
      <c r="F467" s="36">
        <v>33560</v>
      </c>
      <c r="G467" s="36">
        <v>31205</v>
      </c>
      <c r="H467" s="57">
        <v>5.13</v>
      </c>
      <c r="I467" s="57">
        <v>5.12</v>
      </c>
      <c r="J467" s="32">
        <f t="array" ref="J46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44432</v>
      </c>
      <c r="K467" s="59">
        <f>IFERROR(Table13[[#This Row],[Bid Accepted]]*(Table13[[#This Row],[WAYR Current]]%/364*Table13[[#This Row],[Days To Maturity]]),0)</f>
        <v>400.20412499999998</v>
      </c>
      <c r="L467" s="41">
        <f>+Table13[[#This Row],[Bid Accepted]]-Table13[[#This Row],[Amount Offered]]</f>
        <v>23205</v>
      </c>
      <c r="M467" s="57">
        <f>+IF(Table13[[#This Row],[WAYR Last]]&gt;0,IF(Table13[[#This Row],[WAYR Current]]&gt;0,(Table13[[#This Row],[WAYR Current]]-Table13[[#This Row],[WAYR Last]]),""),"")</f>
        <v>9.9999999999997868E-3</v>
      </c>
      <c r="O467" s="77">
        <f>+Table13[[#This Row],[Bid Received]]/Table13[[#This Row],[Amount Offered]]</f>
        <v>4.1950000000000003</v>
      </c>
      <c r="P467" s="77">
        <f>+Table13[[#This Row],[Bid Accepted]]/Table13[[#This Row],[Amount Offered]]</f>
        <v>3.9006249999999998</v>
      </c>
      <c r="AG467" s="78"/>
      <c r="AH467" s="13"/>
      <c r="AN467" s="78"/>
      <c r="AP467" s="77"/>
      <c r="AU467" s="78"/>
      <c r="AV467" s="64"/>
      <c r="AX467" s="78"/>
      <c r="AY467" s="13"/>
    </row>
    <row r="468" spans="1:51" x14ac:dyDescent="0.2">
      <c r="A468" s="34">
        <v>44340</v>
      </c>
      <c r="B468" s="35" t="s">
        <v>262</v>
      </c>
      <c r="C468" s="54">
        <v>182</v>
      </c>
      <c r="D468" s="54"/>
      <c r="E468" s="36">
        <v>12000</v>
      </c>
      <c r="F468" s="36">
        <v>15962</v>
      </c>
      <c r="G468" s="36">
        <v>5462</v>
      </c>
      <c r="H468" s="57">
        <v>5.14</v>
      </c>
      <c r="I468" s="57">
        <v>5.14</v>
      </c>
      <c r="J468" s="32">
        <f t="array" ref="J46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44524</v>
      </c>
      <c r="K468" s="59">
        <f>IFERROR(Table13[[#This Row],[Bid Accepted]]*(Table13[[#This Row],[WAYR Current]]%/364*Table13[[#This Row],[Days To Maturity]]),0)</f>
        <v>140.37339999999998</v>
      </c>
      <c r="L468" s="41">
        <f>+Table13[[#This Row],[Bid Accepted]]-Table13[[#This Row],[Amount Offered]]</f>
        <v>-6538</v>
      </c>
      <c r="M468" s="57">
        <f>+IF(Table13[[#This Row],[WAYR Last]]&gt;0,IF(Table13[[#This Row],[WAYR Current]]&gt;0,(Table13[[#This Row],[WAYR Current]]-Table13[[#This Row],[WAYR Last]]),""),"")</f>
        <v>0</v>
      </c>
      <c r="O468" s="77">
        <f>+Table13[[#This Row],[Bid Received]]/Table13[[#This Row],[Amount Offered]]</f>
        <v>1.3301666666666667</v>
      </c>
      <c r="P468" s="77">
        <f>+Table13[[#This Row],[Bid Accepted]]/Table13[[#This Row],[Amount Offered]]</f>
        <v>0.45516666666666666</v>
      </c>
      <c r="AG468" s="78"/>
      <c r="AH468" s="13"/>
      <c r="AN468" s="78"/>
      <c r="AP468" s="77"/>
      <c r="AU468" s="78"/>
      <c r="AV468" s="64"/>
      <c r="AX468" s="78"/>
      <c r="AY468" s="13"/>
    </row>
    <row r="469" spans="1:51" x14ac:dyDescent="0.2">
      <c r="A469" s="34">
        <v>44340</v>
      </c>
      <c r="B469" s="35" t="s">
        <v>263</v>
      </c>
      <c r="C469" s="54">
        <v>364</v>
      </c>
      <c r="D469" s="54"/>
      <c r="E469" s="36">
        <v>19000</v>
      </c>
      <c r="F469" s="36">
        <v>19100</v>
      </c>
      <c r="G469" s="36">
        <v>920</v>
      </c>
      <c r="H469" s="57">
        <v>5.18</v>
      </c>
      <c r="I469" s="57">
        <v>5.18</v>
      </c>
      <c r="J469" s="32">
        <f t="array" ref="J46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44705</v>
      </c>
      <c r="K469" s="59">
        <f>IFERROR(Table13[[#This Row],[Bid Accepted]]*(Table13[[#This Row],[WAYR Current]]%/364*Table13[[#This Row],[Days To Maturity]]),0)</f>
        <v>47.655999999999999</v>
      </c>
      <c r="L469" s="41">
        <f>+Table13[[#This Row],[Bid Accepted]]-Table13[[#This Row],[Amount Offered]]</f>
        <v>-18080</v>
      </c>
      <c r="M469" s="57">
        <f>+IF(Table13[[#This Row],[WAYR Last]]&gt;0,IF(Table13[[#This Row],[WAYR Current]]&gt;0,(Table13[[#This Row],[WAYR Current]]-Table13[[#This Row],[WAYR Last]]),""),"")</f>
        <v>0</v>
      </c>
      <c r="O469" s="77">
        <f>+Table13[[#This Row],[Bid Received]]/Table13[[#This Row],[Amount Offered]]</f>
        <v>1.0052631578947369</v>
      </c>
      <c r="P469" s="77">
        <f>+Table13[[#This Row],[Bid Accepted]]/Table13[[#This Row],[Amount Offered]]</f>
        <v>4.8421052631578948E-2</v>
      </c>
      <c r="AG469" s="78"/>
      <c r="AH469" s="13"/>
      <c r="AN469" s="78"/>
      <c r="AP469" s="77"/>
      <c r="AU469" s="78"/>
      <c r="AV469" s="64"/>
      <c r="AX469" s="78"/>
      <c r="AY469" s="13"/>
    </row>
    <row r="470" spans="1:51" x14ac:dyDescent="0.2">
      <c r="A470" s="34">
        <v>44356</v>
      </c>
      <c r="B470" s="35" t="s">
        <v>264</v>
      </c>
      <c r="C470" s="54">
        <v>91</v>
      </c>
      <c r="D470" s="54"/>
      <c r="E470" s="36">
        <v>10000</v>
      </c>
      <c r="F470" s="36">
        <v>30976</v>
      </c>
      <c r="G470" s="36">
        <v>28076</v>
      </c>
      <c r="H470" s="57">
        <v>5.16</v>
      </c>
      <c r="I470" s="57">
        <v>5.15</v>
      </c>
      <c r="J470" s="32">
        <f t="array" ref="J47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44448</v>
      </c>
      <c r="K470" s="59">
        <f>IFERROR(Table13[[#This Row],[Bid Accepted]]*(Table13[[#This Row],[WAYR Current]]%/364*Table13[[#This Row],[Days To Maturity]]),0)</f>
        <v>362.18040000000002</v>
      </c>
      <c r="L470" s="41">
        <f>+Table13[[#This Row],[Bid Accepted]]-Table13[[#This Row],[Amount Offered]]</f>
        <v>18076</v>
      </c>
      <c r="M470" s="57">
        <f>+IF(Table13[[#This Row],[WAYR Last]]&gt;0,IF(Table13[[#This Row],[WAYR Current]]&gt;0,(Table13[[#This Row],[WAYR Current]]-Table13[[#This Row],[WAYR Last]]),""),"")</f>
        <v>9.9999999999997868E-3</v>
      </c>
      <c r="O470" s="77">
        <f>+Table13[[#This Row],[Bid Received]]/Table13[[#This Row],[Amount Offered]]</f>
        <v>3.0975999999999999</v>
      </c>
      <c r="P470" s="77">
        <f>+Table13[[#This Row],[Bid Accepted]]/Table13[[#This Row],[Amount Offered]]</f>
        <v>2.8075999999999999</v>
      </c>
      <c r="AG470" s="78"/>
      <c r="AH470" s="13"/>
      <c r="AN470" s="78"/>
      <c r="AP470" s="77"/>
      <c r="AU470" s="78"/>
      <c r="AV470" s="64"/>
      <c r="AX470" s="78"/>
      <c r="AY470" s="13"/>
    </row>
    <row r="471" spans="1:51" x14ac:dyDescent="0.2">
      <c r="A471" s="34">
        <v>44356</v>
      </c>
      <c r="B471" s="35" t="s">
        <v>265</v>
      </c>
      <c r="C471" s="54">
        <v>182</v>
      </c>
      <c r="D471" s="54"/>
      <c r="E471" s="36">
        <v>23000</v>
      </c>
      <c r="F471" s="36">
        <v>23362</v>
      </c>
      <c r="G471" s="36">
        <v>3439</v>
      </c>
      <c r="H471" s="57">
        <v>5.17</v>
      </c>
      <c r="I471" s="57">
        <v>5.17</v>
      </c>
      <c r="J471" s="32">
        <f t="array" ref="J47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44539</v>
      </c>
      <c r="K471" s="59">
        <f>IFERROR(Table13[[#This Row],[Bid Accepted]]*(Table13[[#This Row],[WAYR Current]]%/364*Table13[[#This Row],[Days To Maturity]]),0)</f>
        <v>88.898149999999987</v>
      </c>
      <c r="L471" s="41">
        <f>+Table13[[#This Row],[Bid Accepted]]-Table13[[#This Row],[Amount Offered]]</f>
        <v>-19561</v>
      </c>
      <c r="M471" s="57">
        <f>+IF(Table13[[#This Row],[WAYR Last]]&gt;0,IF(Table13[[#This Row],[WAYR Current]]&gt;0,(Table13[[#This Row],[WAYR Current]]-Table13[[#This Row],[WAYR Last]]),""),"")</f>
        <v>0</v>
      </c>
      <c r="O471" s="77">
        <f>+Table13[[#This Row],[Bid Received]]/Table13[[#This Row],[Amount Offered]]</f>
        <v>1.0157391304347827</v>
      </c>
      <c r="P471" s="77">
        <f>+Table13[[#This Row],[Bid Accepted]]/Table13[[#This Row],[Amount Offered]]</f>
        <v>0.14952173913043479</v>
      </c>
      <c r="AG471" s="78"/>
      <c r="AH471" s="13"/>
      <c r="AN471" s="78"/>
      <c r="AP471" s="77"/>
      <c r="AU471" s="78"/>
      <c r="AV471" s="64"/>
      <c r="AX471" s="78"/>
      <c r="AY471" s="13"/>
    </row>
    <row r="472" spans="1:51" x14ac:dyDescent="0.2">
      <c r="A472" s="34">
        <v>44356</v>
      </c>
      <c r="B472" s="35" t="s">
        <v>266</v>
      </c>
      <c r="C472" s="54">
        <v>364</v>
      </c>
      <c r="D472" s="54"/>
      <c r="E472" s="36">
        <v>18000</v>
      </c>
      <c r="F472" s="36">
        <v>18057</v>
      </c>
      <c r="G472" s="36">
        <v>57</v>
      </c>
      <c r="H472" s="57">
        <v>5.21</v>
      </c>
      <c r="I472" s="57">
        <v>5.21</v>
      </c>
      <c r="J472" s="32">
        <f t="array" ref="J47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44721</v>
      </c>
      <c r="K472" s="59">
        <f>IFERROR(Table13[[#This Row],[Bid Accepted]]*(Table13[[#This Row],[WAYR Current]]%/364*Table13[[#This Row],[Days To Maturity]]),0)</f>
        <v>2.9697</v>
      </c>
      <c r="L472" s="41">
        <f>+Table13[[#This Row],[Bid Accepted]]-Table13[[#This Row],[Amount Offered]]</f>
        <v>-17943</v>
      </c>
      <c r="M472" s="57">
        <f>+IF(Table13[[#This Row],[WAYR Last]]&gt;0,IF(Table13[[#This Row],[WAYR Current]]&gt;0,(Table13[[#This Row],[WAYR Current]]-Table13[[#This Row],[WAYR Last]]),""),"")</f>
        <v>0</v>
      </c>
      <c r="O472" s="77">
        <f>+Table13[[#This Row],[Bid Received]]/Table13[[#This Row],[Amount Offered]]</f>
        <v>1.0031666666666668</v>
      </c>
      <c r="P472" s="77">
        <f>+Table13[[#This Row],[Bid Accepted]]/Table13[[#This Row],[Amount Offered]]</f>
        <v>3.1666666666666666E-3</v>
      </c>
      <c r="AG472" s="78"/>
      <c r="AH472" s="13"/>
      <c r="AN472" s="78"/>
      <c r="AP472" s="77"/>
      <c r="AU472" s="78"/>
      <c r="AV472" s="64"/>
      <c r="AX472" s="78"/>
      <c r="AY472" s="13"/>
    </row>
    <row r="473" spans="1:51" x14ac:dyDescent="0.2">
      <c r="A473" s="34">
        <v>44363</v>
      </c>
      <c r="B473" s="35" t="s">
        <v>267</v>
      </c>
      <c r="C473" s="54">
        <v>91</v>
      </c>
      <c r="D473" s="54"/>
      <c r="E473" s="36">
        <v>10000</v>
      </c>
      <c r="F473" s="36">
        <v>19475</v>
      </c>
      <c r="G473" s="36">
        <v>14830</v>
      </c>
      <c r="H473" s="57">
        <v>5.17</v>
      </c>
      <c r="I473" s="57">
        <v>5.16</v>
      </c>
      <c r="J473" s="32">
        <f t="array" ref="J47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44455</v>
      </c>
      <c r="K473" s="59">
        <f>IFERROR(Table13[[#This Row],[Bid Accepted]]*(Table13[[#This Row],[WAYR Current]]%/364*Table13[[#This Row],[Days To Maturity]]),0)</f>
        <v>191.67774999999997</v>
      </c>
      <c r="L473" s="41">
        <f>+Table13[[#This Row],[Bid Accepted]]-Table13[[#This Row],[Amount Offered]]</f>
        <v>4830</v>
      </c>
      <c r="M473" s="57">
        <f>+IF(Table13[[#This Row],[WAYR Last]]&gt;0,IF(Table13[[#This Row],[WAYR Current]]&gt;0,(Table13[[#This Row],[WAYR Current]]-Table13[[#This Row],[WAYR Last]]),""),"")</f>
        <v>9.9999999999997868E-3</v>
      </c>
      <c r="O473" s="77">
        <f>+Table13[[#This Row],[Bid Received]]/Table13[[#This Row],[Amount Offered]]</f>
        <v>1.9475</v>
      </c>
      <c r="P473" s="77">
        <f>+Table13[[#This Row],[Bid Accepted]]/Table13[[#This Row],[Amount Offered]]</f>
        <v>1.4830000000000001</v>
      </c>
      <c r="AG473" s="78"/>
      <c r="AH473" s="13"/>
      <c r="AN473" s="78"/>
      <c r="AP473" s="77"/>
      <c r="AU473" s="78"/>
      <c r="AV473" s="64"/>
      <c r="AX473" s="78"/>
      <c r="AY473" s="13"/>
    </row>
    <row r="474" spans="1:51" x14ac:dyDescent="0.2">
      <c r="A474" s="34">
        <v>44363</v>
      </c>
      <c r="B474" s="35" t="s">
        <v>268</v>
      </c>
      <c r="C474" s="54">
        <v>182</v>
      </c>
      <c r="D474" s="54"/>
      <c r="E474" s="36">
        <v>20000</v>
      </c>
      <c r="F474" s="36">
        <v>24674</v>
      </c>
      <c r="G474" s="36">
        <v>4774</v>
      </c>
      <c r="H474" s="57">
        <v>5.17</v>
      </c>
      <c r="I474" s="57">
        <v>5.17</v>
      </c>
      <c r="J474" s="32">
        <f t="array" ref="J47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44546</v>
      </c>
      <c r="K474" s="59">
        <f>IFERROR(Table13[[#This Row],[Bid Accepted]]*(Table13[[#This Row],[WAYR Current]]%/364*Table13[[#This Row],[Days To Maturity]]),0)</f>
        <v>123.40789999999998</v>
      </c>
      <c r="L474" s="41">
        <f>+Table13[[#This Row],[Bid Accepted]]-Table13[[#This Row],[Amount Offered]]</f>
        <v>-15226</v>
      </c>
      <c r="M474" s="57">
        <f>+IF(Table13[[#This Row],[WAYR Last]]&gt;0,IF(Table13[[#This Row],[WAYR Current]]&gt;0,(Table13[[#This Row],[WAYR Current]]-Table13[[#This Row],[WAYR Last]]),""),"")</f>
        <v>0</v>
      </c>
      <c r="O474" s="77">
        <f>+Table13[[#This Row],[Bid Received]]/Table13[[#This Row],[Amount Offered]]</f>
        <v>1.2337</v>
      </c>
      <c r="P474" s="77">
        <f>+Table13[[#This Row],[Bid Accepted]]/Table13[[#This Row],[Amount Offered]]</f>
        <v>0.2387</v>
      </c>
      <c r="AG474" s="78"/>
      <c r="AH474" s="13"/>
      <c r="AN474" s="78"/>
      <c r="AP474" s="77"/>
      <c r="AU474" s="78"/>
      <c r="AV474" s="64"/>
      <c r="AX474" s="78"/>
      <c r="AY474" s="13"/>
    </row>
    <row r="475" spans="1:51" x14ac:dyDescent="0.2">
      <c r="A475" s="34">
        <v>44363</v>
      </c>
      <c r="B475" s="35" t="s">
        <v>269</v>
      </c>
      <c r="C475" s="54">
        <v>364</v>
      </c>
      <c r="D475" s="54"/>
      <c r="E475" s="36">
        <v>20000</v>
      </c>
      <c r="F475" s="36">
        <v>20150</v>
      </c>
      <c r="G475" s="36">
        <v>275</v>
      </c>
      <c r="H475" s="57">
        <v>5.21</v>
      </c>
      <c r="I475" s="57">
        <v>5.21</v>
      </c>
      <c r="J475" s="32">
        <f t="array" ref="J47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44728</v>
      </c>
      <c r="K475" s="59">
        <f>IFERROR(Table13[[#This Row],[Bid Accepted]]*(Table13[[#This Row],[WAYR Current]]%/364*Table13[[#This Row],[Days To Maturity]]),0)</f>
        <v>14.327500000000001</v>
      </c>
      <c r="L475" s="41">
        <f>+Table13[[#This Row],[Bid Accepted]]-Table13[[#This Row],[Amount Offered]]</f>
        <v>-19725</v>
      </c>
      <c r="M475" s="57">
        <f>+IF(Table13[[#This Row],[WAYR Last]]&gt;0,IF(Table13[[#This Row],[WAYR Current]]&gt;0,(Table13[[#This Row],[WAYR Current]]-Table13[[#This Row],[WAYR Last]]),""),"")</f>
        <v>0</v>
      </c>
      <c r="O475" s="77">
        <f>+Table13[[#This Row],[Bid Received]]/Table13[[#This Row],[Amount Offered]]</f>
        <v>1.0075000000000001</v>
      </c>
      <c r="P475" s="77">
        <f>+Table13[[#This Row],[Bid Accepted]]/Table13[[#This Row],[Amount Offered]]</f>
        <v>1.375E-2</v>
      </c>
      <c r="AG475" s="78"/>
      <c r="AH475" s="13"/>
      <c r="AN475" s="78"/>
      <c r="AP475" s="77"/>
      <c r="AU475" s="78"/>
      <c r="AV475" s="64"/>
      <c r="AX475" s="78"/>
      <c r="AY475" s="13"/>
    </row>
    <row r="476" spans="1:51" x14ac:dyDescent="0.2">
      <c r="A476" s="34">
        <v>44369</v>
      </c>
      <c r="B476" s="35" t="s">
        <v>270</v>
      </c>
      <c r="C476" s="54">
        <v>91</v>
      </c>
      <c r="D476" s="54"/>
      <c r="E476" s="36">
        <v>10000</v>
      </c>
      <c r="F476" s="36">
        <v>26005</v>
      </c>
      <c r="G476" s="36">
        <v>14550</v>
      </c>
      <c r="H476" s="57">
        <v>5.17</v>
      </c>
      <c r="I476" s="57">
        <v>5.17</v>
      </c>
      <c r="J476" s="32">
        <f t="array" ref="J47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44461</v>
      </c>
      <c r="K476" s="59">
        <f>IFERROR(Table13[[#This Row],[Bid Accepted]]*(Table13[[#This Row],[WAYR Current]]%/364*Table13[[#This Row],[Days To Maturity]]),0)</f>
        <v>188.05874999999997</v>
      </c>
      <c r="L476" s="41">
        <f>+Table13[[#This Row],[Bid Accepted]]-Table13[[#This Row],[Amount Offered]]</f>
        <v>4550</v>
      </c>
      <c r="M476" s="57">
        <f>+IF(Table13[[#This Row],[WAYR Last]]&gt;0,IF(Table13[[#This Row],[WAYR Current]]&gt;0,(Table13[[#This Row],[WAYR Current]]-Table13[[#This Row],[WAYR Last]]),""),"")</f>
        <v>0</v>
      </c>
      <c r="O476" s="77">
        <f>+Table13[[#This Row],[Bid Received]]/Table13[[#This Row],[Amount Offered]]</f>
        <v>2.6004999999999998</v>
      </c>
      <c r="P476" s="77">
        <f>+Table13[[#This Row],[Bid Accepted]]/Table13[[#This Row],[Amount Offered]]</f>
        <v>1.4550000000000001</v>
      </c>
      <c r="AG476" s="78"/>
      <c r="AH476" s="13"/>
      <c r="AN476" s="78"/>
      <c r="AP476" s="77"/>
      <c r="AU476" s="78"/>
      <c r="AV476" s="64"/>
      <c r="AX476" s="78"/>
      <c r="AY476" s="13"/>
    </row>
    <row r="477" spans="1:51" x14ac:dyDescent="0.2">
      <c r="A477" s="34">
        <v>44369</v>
      </c>
      <c r="B477" s="35" t="s">
        <v>271</v>
      </c>
      <c r="C477" s="54">
        <v>182</v>
      </c>
      <c r="D477" s="54"/>
      <c r="E477" s="36">
        <v>17500</v>
      </c>
      <c r="F477" s="36">
        <v>18400</v>
      </c>
      <c r="G477" s="36">
        <v>4400</v>
      </c>
      <c r="H477" s="57">
        <v>5.17</v>
      </c>
      <c r="I477" s="57">
        <v>5.17</v>
      </c>
      <c r="J477" s="32">
        <f t="array" ref="J47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44552</v>
      </c>
      <c r="K477" s="59">
        <f>IFERROR(Table13[[#This Row],[Bid Accepted]]*(Table13[[#This Row],[WAYR Current]]%/364*Table13[[#This Row],[Days To Maturity]]),0)</f>
        <v>113.74</v>
      </c>
      <c r="L477" s="41">
        <f>+Table13[[#This Row],[Bid Accepted]]-Table13[[#This Row],[Amount Offered]]</f>
        <v>-13100</v>
      </c>
      <c r="M477" s="57">
        <f>+IF(Table13[[#This Row],[WAYR Last]]&gt;0,IF(Table13[[#This Row],[WAYR Current]]&gt;0,(Table13[[#This Row],[WAYR Current]]-Table13[[#This Row],[WAYR Last]]),""),"")</f>
        <v>0</v>
      </c>
      <c r="O477" s="77">
        <f>+Table13[[#This Row],[Bid Received]]/Table13[[#This Row],[Amount Offered]]</f>
        <v>1.0514285714285714</v>
      </c>
      <c r="P477" s="77">
        <f>+Table13[[#This Row],[Bid Accepted]]/Table13[[#This Row],[Amount Offered]]</f>
        <v>0.25142857142857145</v>
      </c>
      <c r="AG477" s="78"/>
      <c r="AH477" s="13"/>
      <c r="AN477" s="78"/>
      <c r="AP477" s="77"/>
      <c r="AU477" s="78"/>
      <c r="AV477" s="64"/>
      <c r="AX477" s="78"/>
      <c r="AY477" s="13"/>
    </row>
    <row r="478" spans="1:51" x14ac:dyDescent="0.2">
      <c r="A478" s="34">
        <v>44369</v>
      </c>
      <c r="B478" s="35" t="s">
        <v>272</v>
      </c>
      <c r="C478" s="54">
        <v>364</v>
      </c>
      <c r="D478" s="54"/>
      <c r="E478" s="36">
        <v>17500</v>
      </c>
      <c r="F478" s="36">
        <v>17575</v>
      </c>
      <c r="G478" s="36">
        <v>75</v>
      </c>
      <c r="H478" s="57">
        <v>5.21</v>
      </c>
      <c r="I478" s="57">
        <v>5.21</v>
      </c>
      <c r="J478" s="32">
        <f t="array" ref="J47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44734</v>
      </c>
      <c r="K478" s="59">
        <f>IFERROR(Table13[[#This Row],[Bid Accepted]]*(Table13[[#This Row],[WAYR Current]]%/364*Table13[[#This Row],[Days To Maturity]]),0)</f>
        <v>3.9075000000000002</v>
      </c>
      <c r="L478" s="41">
        <f>+Table13[[#This Row],[Bid Accepted]]-Table13[[#This Row],[Amount Offered]]</f>
        <v>-17425</v>
      </c>
      <c r="M478" s="57">
        <f>+IF(Table13[[#This Row],[WAYR Last]]&gt;0,IF(Table13[[#This Row],[WAYR Current]]&gt;0,(Table13[[#This Row],[WAYR Current]]-Table13[[#This Row],[WAYR Last]]),""),"")</f>
        <v>0</v>
      </c>
      <c r="O478" s="77">
        <f>+Table13[[#This Row],[Bid Received]]/Table13[[#This Row],[Amount Offered]]</f>
        <v>1.0042857142857142</v>
      </c>
      <c r="P478" s="77">
        <f>+Table13[[#This Row],[Bid Accepted]]/Table13[[#This Row],[Amount Offered]]</f>
        <v>4.2857142857142859E-3</v>
      </c>
      <c r="AG478" s="78"/>
      <c r="AH478" s="13"/>
      <c r="AN478" s="78"/>
      <c r="AP478" s="77"/>
      <c r="AU478" s="78"/>
      <c r="AV478" s="64"/>
      <c r="AX478" s="78"/>
      <c r="AY478" s="13"/>
    </row>
    <row r="479" spans="1:51" x14ac:dyDescent="0.2">
      <c r="A479" s="34">
        <v>44377</v>
      </c>
      <c r="B479" s="35" t="s">
        <v>273</v>
      </c>
      <c r="C479" s="54">
        <v>91</v>
      </c>
      <c r="D479" s="54"/>
      <c r="E479" s="36">
        <v>7000</v>
      </c>
      <c r="F479" s="36">
        <v>31008</v>
      </c>
      <c r="G479" s="36">
        <v>26623</v>
      </c>
      <c r="H479" s="57">
        <v>5.18</v>
      </c>
      <c r="I479" s="57">
        <v>5.17</v>
      </c>
      <c r="J479" s="32">
        <f t="array" ref="J47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44469</v>
      </c>
      <c r="K479" s="59">
        <f>IFERROR(Table13[[#This Row],[Bid Accepted]]*(Table13[[#This Row],[WAYR Current]]%/364*Table13[[#This Row],[Days To Maturity]]),0)</f>
        <v>344.76785000000001</v>
      </c>
      <c r="L479" s="41">
        <f>+Table13[[#This Row],[Bid Accepted]]-Table13[[#This Row],[Amount Offered]]</f>
        <v>19623</v>
      </c>
      <c r="M479" s="57">
        <f>+IF(Table13[[#This Row],[WAYR Last]]&gt;0,IF(Table13[[#This Row],[WAYR Current]]&gt;0,(Table13[[#This Row],[WAYR Current]]-Table13[[#This Row],[WAYR Last]]),""),"")</f>
        <v>9.9999999999997868E-3</v>
      </c>
      <c r="O479" s="77">
        <f>+Table13[[#This Row],[Bid Received]]/Table13[[#This Row],[Amount Offered]]</f>
        <v>4.4297142857142857</v>
      </c>
      <c r="P479" s="77">
        <f>+Table13[[#This Row],[Bid Accepted]]/Table13[[#This Row],[Amount Offered]]</f>
        <v>3.8032857142857144</v>
      </c>
      <c r="AG479" s="78"/>
      <c r="AH479" s="13"/>
      <c r="AN479" s="78"/>
      <c r="AP479" s="77"/>
      <c r="AU479" s="78"/>
      <c r="AV479" s="64"/>
      <c r="AX479" s="78"/>
      <c r="AY479" s="13"/>
    </row>
    <row r="480" spans="1:51" x14ac:dyDescent="0.2">
      <c r="A480" s="34">
        <v>44377</v>
      </c>
      <c r="B480" s="35" t="s">
        <v>274</v>
      </c>
      <c r="C480" s="54">
        <v>182</v>
      </c>
      <c r="D480" s="54"/>
      <c r="E480" s="36">
        <v>15000</v>
      </c>
      <c r="F480" s="36">
        <v>15212</v>
      </c>
      <c r="G480" s="36">
        <v>2927</v>
      </c>
      <c r="H480" s="57">
        <v>5.19</v>
      </c>
      <c r="I480" s="57">
        <v>5.17</v>
      </c>
      <c r="J480" s="32">
        <f t="array" ref="J48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44560</v>
      </c>
      <c r="K480" s="59">
        <f>IFERROR(Table13[[#This Row],[Bid Accepted]]*(Table13[[#This Row],[WAYR Current]]%/364*Table13[[#This Row],[Days To Maturity]]),0)</f>
        <v>75.955649999999991</v>
      </c>
      <c r="L480" s="41">
        <f>+Table13[[#This Row],[Bid Accepted]]-Table13[[#This Row],[Amount Offered]]</f>
        <v>-12073</v>
      </c>
      <c r="M480" s="57">
        <f>+IF(Table13[[#This Row],[WAYR Last]]&gt;0,IF(Table13[[#This Row],[WAYR Current]]&gt;0,(Table13[[#This Row],[WAYR Current]]-Table13[[#This Row],[WAYR Last]]),""),"")</f>
        <v>2.0000000000000462E-2</v>
      </c>
      <c r="O480" s="77">
        <f>+Table13[[#This Row],[Bid Received]]/Table13[[#This Row],[Amount Offered]]</f>
        <v>1.0141333333333333</v>
      </c>
      <c r="P480" s="77">
        <f>+Table13[[#This Row],[Bid Accepted]]/Table13[[#This Row],[Amount Offered]]</f>
        <v>0.19513333333333333</v>
      </c>
      <c r="AG480" s="78"/>
      <c r="AH480" s="13"/>
      <c r="AN480" s="78"/>
      <c r="AP480" s="77"/>
      <c r="AU480" s="78"/>
      <c r="AV480" s="64"/>
      <c r="AX480" s="78"/>
      <c r="AY480" s="13"/>
    </row>
    <row r="481" spans="1:51" x14ac:dyDescent="0.2">
      <c r="A481" s="34">
        <v>44377</v>
      </c>
      <c r="B481" s="35" t="s">
        <v>275</v>
      </c>
      <c r="C481" s="54">
        <v>364</v>
      </c>
      <c r="D481" s="54"/>
      <c r="E481" s="36">
        <v>15000</v>
      </c>
      <c r="F481" s="36">
        <v>15000</v>
      </c>
      <c r="G481" s="36">
        <v>345</v>
      </c>
      <c r="H481" s="57">
        <v>5.23</v>
      </c>
      <c r="I481" s="57">
        <v>5.21</v>
      </c>
      <c r="J481" s="32">
        <f t="array" ref="J48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44742</v>
      </c>
      <c r="K481" s="59">
        <f>IFERROR(Table13[[#This Row],[Bid Accepted]]*(Table13[[#This Row],[WAYR Current]]%/364*Table13[[#This Row],[Days To Maturity]]),0)</f>
        <v>18.043499999999998</v>
      </c>
      <c r="L481" s="41">
        <f>+Table13[[#This Row],[Bid Accepted]]-Table13[[#This Row],[Amount Offered]]</f>
        <v>-14655</v>
      </c>
      <c r="M481" s="57">
        <f>+IF(Table13[[#This Row],[WAYR Last]]&gt;0,IF(Table13[[#This Row],[WAYR Current]]&gt;0,(Table13[[#This Row],[WAYR Current]]-Table13[[#This Row],[WAYR Last]]),""),"")</f>
        <v>2.0000000000000462E-2</v>
      </c>
      <c r="O481" s="77">
        <f>+Table13[[#This Row],[Bid Received]]/Table13[[#This Row],[Amount Offered]]</f>
        <v>1</v>
      </c>
      <c r="P481" s="77">
        <f>+Table13[[#This Row],[Bid Accepted]]/Table13[[#This Row],[Amount Offered]]</f>
        <v>2.3E-2</v>
      </c>
      <c r="AG481" s="78"/>
      <c r="AH481" s="13"/>
      <c r="AN481" s="78"/>
      <c r="AP481" s="77"/>
      <c r="AU481" s="78"/>
      <c r="AV481" s="64"/>
      <c r="AX481" s="78"/>
      <c r="AY481" s="13"/>
    </row>
    <row r="482" spans="1:51" x14ac:dyDescent="0.2">
      <c r="A482" s="34">
        <v>44384</v>
      </c>
      <c r="B482" s="35" t="s">
        <v>276</v>
      </c>
      <c r="C482" s="54">
        <v>91</v>
      </c>
      <c r="D482" s="54"/>
      <c r="E482" s="36">
        <v>15000</v>
      </c>
      <c r="F482" s="36">
        <v>46720</v>
      </c>
      <c r="G482" s="36">
        <v>42080</v>
      </c>
      <c r="H482" s="57">
        <v>5.19</v>
      </c>
      <c r="I482" s="57">
        <v>5.18</v>
      </c>
      <c r="J482" s="32">
        <f t="array" ref="J48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44476</v>
      </c>
      <c r="K482" s="59">
        <f>IFERROR(Table13[[#This Row],[Bid Accepted]]*(Table13[[#This Row],[WAYR Current]]%/364*Table13[[#This Row],[Days To Maturity]]),0)</f>
        <v>545.98799999999994</v>
      </c>
      <c r="L482" s="41">
        <f>+Table13[[#This Row],[Bid Accepted]]-Table13[[#This Row],[Amount Offered]]</f>
        <v>27080</v>
      </c>
      <c r="M482" s="57">
        <f>+IF(Table13[[#This Row],[WAYR Last]]&gt;0,IF(Table13[[#This Row],[WAYR Current]]&gt;0,(Table13[[#This Row],[WAYR Current]]-Table13[[#This Row],[WAYR Last]]),""),"")</f>
        <v>1.0000000000000675E-2</v>
      </c>
      <c r="O482" s="77">
        <f>+Table13[[#This Row],[Bid Received]]/Table13[[#This Row],[Amount Offered]]</f>
        <v>3.1146666666666665</v>
      </c>
      <c r="P482" s="77">
        <f>+Table13[[#This Row],[Bid Accepted]]/Table13[[#This Row],[Amount Offered]]</f>
        <v>2.8053333333333335</v>
      </c>
      <c r="AG482" s="78"/>
      <c r="AH482" s="13"/>
      <c r="AN482" s="78"/>
      <c r="AP482" s="77"/>
      <c r="AU482" s="78"/>
      <c r="AV482" s="64"/>
      <c r="AX482" s="78"/>
      <c r="AY482" s="13"/>
    </row>
    <row r="483" spans="1:51" x14ac:dyDescent="0.2">
      <c r="A483" s="34">
        <v>44384</v>
      </c>
      <c r="B483" s="35" t="s">
        <v>277</v>
      </c>
      <c r="C483" s="54">
        <v>182</v>
      </c>
      <c r="D483" s="54"/>
      <c r="E483" s="36">
        <v>16500</v>
      </c>
      <c r="F483" s="36">
        <v>16566</v>
      </c>
      <c r="G483" s="36">
        <v>2130</v>
      </c>
      <c r="H483" s="57">
        <v>5.19</v>
      </c>
      <c r="I483" s="57">
        <v>5.19</v>
      </c>
      <c r="J483" s="32">
        <f t="array" ref="J48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44568</v>
      </c>
      <c r="K483" s="59">
        <f>IFERROR(Table13[[#This Row],[Bid Accepted]]*(Table13[[#This Row],[WAYR Current]]%/364*Table13[[#This Row],[Days To Maturity]]),0)</f>
        <v>55.273499999999991</v>
      </c>
      <c r="L483" s="41">
        <f>+Table13[[#This Row],[Bid Accepted]]-Table13[[#This Row],[Amount Offered]]</f>
        <v>-14370</v>
      </c>
      <c r="M483" s="57">
        <f>+IF(Table13[[#This Row],[WAYR Last]]&gt;0,IF(Table13[[#This Row],[WAYR Current]]&gt;0,(Table13[[#This Row],[WAYR Current]]-Table13[[#This Row],[WAYR Last]]),""),"")</f>
        <v>0</v>
      </c>
      <c r="O483" s="77">
        <f>+Table13[[#This Row],[Bid Received]]/Table13[[#This Row],[Amount Offered]]</f>
        <v>1.004</v>
      </c>
      <c r="P483" s="77">
        <f>+Table13[[#This Row],[Bid Accepted]]/Table13[[#This Row],[Amount Offered]]</f>
        <v>0.12909090909090909</v>
      </c>
      <c r="AG483" s="78"/>
      <c r="AH483" s="13"/>
      <c r="AN483" s="78"/>
      <c r="AP483" s="77"/>
      <c r="AU483" s="78"/>
      <c r="AV483" s="64"/>
      <c r="AX483" s="78"/>
      <c r="AY483" s="13"/>
    </row>
    <row r="484" spans="1:51" x14ac:dyDescent="0.2">
      <c r="A484" s="34">
        <v>44384</v>
      </c>
      <c r="B484" s="35" t="s">
        <v>278</v>
      </c>
      <c r="C484" s="54">
        <v>364</v>
      </c>
      <c r="D484" s="54"/>
      <c r="E484" s="36">
        <v>16500</v>
      </c>
      <c r="F484" s="36">
        <v>16535</v>
      </c>
      <c r="G484" s="36">
        <v>730</v>
      </c>
      <c r="H484" s="57">
        <v>5.23</v>
      </c>
      <c r="I484" s="57">
        <v>5.23</v>
      </c>
      <c r="J484" s="32">
        <f t="array" ref="J48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44749</v>
      </c>
      <c r="K484" s="59">
        <f>IFERROR(Table13[[#This Row],[Bid Accepted]]*(Table13[[#This Row],[WAYR Current]]%/364*Table13[[#This Row],[Days To Maturity]]),0)</f>
        <v>38.179000000000002</v>
      </c>
      <c r="L484" s="41">
        <f>+Table13[[#This Row],[Bid Accepted]]-Table13[[#This Row],[Amount Offered]]</f>
        <v>-15770</v>
      </c>
      <c r="M484" s="57">
        <f>+IF(Table13[[#This Row],[WAYR Last]]&gt;0,IF(Table13[[#This Row],[WAYR Current]]&gt;0,(Table13[[#This Row],[WAYR Current]]-Table13[[#This Row],[WAYR Last]]),""),"")</f>
        <v>0</v>
      </c>
      <c r="O484" s="77">
        <f>+Table13[[#This Row],[Bid Received]]/Table13[[#This Row],[Amount Offered]]</f>
        <v>1.0021212121212122</v>
      </c>
      <c r="P484" s="77">
        <f>+Table13[[#This Row],[Bid Accepted]]/Table13[[#This Row],[Amount Offered]]</f>
        <v>4.4242424242424243E-2</v>
      </c>
      <c r="AG484" s="78"/>
      <c r="AH484" s="13"/>
      <c r="AN484" s="78"/>
      <c r="AP484" s="77"/>
      <c r="AU484" s="78"/>
      <c r="AV484" s="64"/>
      <c r="AX484" s="78"/>
      <c r="AY484" s="13"/>
    </row>
    <row r="485" spans="1:51" x14ac:dyDescent="0.2">
      <c r="A485" s="34">
        <v>44391</v>
      </c>
      <c r="B485" s="35" t="s">
        <v>279</v>
      </c>
      <c r="C485" s="54">
        <v>91</v>
      </c>
      <c r="D485" s="54"/>
      <c r="E485" s="44">
        <v>15000</v>
      </c>
      <c r="F485" s="44">
        <v>64175</v>
      </c>
      <c r="G485" s="44">
        <v>47760</v>
      </c>
      <c r="H485" s="57">
        <v>5.21</v>
      </c>
      <c r="I485" s="57">
        <v>5.19</v>
      </c>
      <c r="J485" s="32">
        <f t="array" ref="J48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44483</v>
      </c>
      <c r="K485" s="59">
        <f>IFERROR(Table13[[#This Row],[Bid Accepted]]*(Table13[[#This Row],[WAYR Current]]%/364*Table13[[#This Row],[Days To Maturity]]),0)</f>
        <v>622.07399999999996</v>
      </c>
      <c r="L485" s="41">
        <f>+Table13[[#This Row],[Bid Accepted]]-Table13[[#This Row],[Amount Offered]]</f>
        <v>32760</v>
      </c>
      <c r="M485" s="57">
        <f>+IF(Table13[[#This Row],[WAYR Last]]&gt;0,IF(Table13[[#This Row],[WAYR Current]]&gt;0,(Table13[[#This Row],[WAYR Current]]-Table13[[#This Row],[WAYR Last]]),""),"")</f>
        <v>1.9999999999999574E-2</v>
      </c>
      <c r="O485" s="77">
        <f>+Table13[[#This Row],[Bid Received]]/Table13[[#This Row],[Amount Offered]]</f>
        <v>4.2783333333333333</v>
      </c>
      <c r="P485" s="77">
        <f>+Table13[[#This Row],[Bid Accepted]]/Table13[[#This Row],[Amount Offered]]</f>
        <v>3.1840000000000002</v>
      </c>
      <c r="AG485" s="78"/>
      <c r="AH485" s="13"/>
      <c r="AN485" s="78"/>
      <c r="AP485" s="77"/>
      <c r="AU485" s="78"/>
      <c r="AV485" s="64"/>
      <c r="AX485" s="78"/>
      <c r="AY485" s="13"/>
    </row>
    <row r="486" spans="1:51" x14ac:dyDescent="0.2">
      <c r="A486" s="34">
        <v>44391</v>
      </c>
      <c r="B486" s="35" t="s">
        <v>280</v>
      </c>
      <c r="C486" s="54">
        <v>182</v>
      </c>
      <c r="D486" s="54"/>
      <c r="E486" s="44">
        <v>23500</v>
      </c>
      <c r="F486" s="44">
        <v>29650</v>
      </c>
      <c r="G486" s="44">
        <v>8210</v>
      </c>
      <c r="H486" s="57">
        <v>5.22</v>
      </c>
      <c r="I486" s="57">
        <v>5.19</v>
      </c>
      <c r="J486" s="32">
        <f t="array" ref="J48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44575</v>
      </c>
      <c r="K486" s="59">
        <f>IFERROR(Table13[[#This Row],[Bid Accepted]]*(Table13[[#This Row],[WAYR Current]]%/364*Table13[[#This Row],[Days To Maturity]]),0)</f>
        <v>214.28099999999998</v>
      </c>
      <c r="L486" s="41">
        <f>+Table13[[#This Row],[Bid Accepted]]-Table13[[#This Row],[Amount Offered]]</f>
        <v>-15290</v>
      </c>
      <c r="M486" s="57">
        <f>+IF(Table13[[#This Row],[WAYR Last]]&gt;0,IF(Table13[[#This Row],[WAYR Current]]&gt;0,(Table13[[#This Row],[WAYR Current]]-Table13[[#This Row],[WAYR Last]]),""),"")</f>
        <v>2.9999999999999361E-2</v>
      </c>
      <c r="O486" s="77">
        <f>+Table13[[#This Row],[Bid Received]]/Table13[[#This Row],[Amount Offered]]</f>
        <v>1.2617021276595746</v>
      </c>
      <c r="P486" s="77">
        <f>+Table13[[#This Row],[Bid Accepted]]/Table13[[#This Row],[Amount Offered]]</f>
        <v>0.3493617021276596</v>
      </c>
      <c r="AG486" s="78"/>
      <c r="AH486" s="13"/>
      <c r="AN486" s="78"/>
      <c r="AP486" s="77"/>
      <c r="AU486" s="78"/>
      <c r="AV486" s="64"/>
      <c r="AX486" s="78"/>
      <c r="AY486" s="13"/>
    </row>
    <row r="487" spans="1:51" x14ac:dyDescent="0.2">
      <c r="A487" s="34">
        <v>44391</v>
      </c>
      <c r="B487" s="35" t="s">
        <v>281</v>
      </c>
      <c r="C487" s="54">
        <v>364</v>
      </c>
      <c r="D487" s="54"/>
      <c r="E487" s="44">
        <v>17500</v>
      </c>
      <c r="F487" s="44">
        <v>17530</v>
      </c>
      <c r="G487" s="54">
        <v>30</v>
      </c>
      <c r="H487" s="57">
        <v>5.24</v>
      </c>
      <c r="I487" s="57">
        <v>5.23</v>
      </c>
      <c r="J487" s="32">
        <f t="array" ref="J48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44756</v>
      </c>
      <c r="K487" s="59">
        <f>IFERROR(Table13[[#This Row],[Bid Accepted]]*(Table13[[#This Row],[WAYR Current]]%/364*Table13[[#This Row],[Days To Maturity]]),0)</f>
        <v>1.5720000000000001</v>
      </c>
      <c r="L487" s="41">
        <f>+Table13[[#This Row],[Bid Accepted]]-Table13[[#This Row],[Amount Offered]]</f>
        <v>-17470</v>
      </c>
      <c r="M487" s="57">
        <f>+IF(Table13[[#This Row],[WAYR Last]]&gt;0,IF(Table13[[#This Row],[WAYR Current]]&gt;0,(Table13[[#This Row],[WAYR Current]]-Table13[[#This Row],[WAYR Last]]),""),"")</f>
        <v>9.9999999999997868E-3</v>
      </c>
      <c r="O487" s="77">
        <f>+Table13[[#This Row],[Bid Received]]/Table13[[#This Row],[Amount Offered]]</f>
        <v>1.0017142857142858</v>
      </c>
      <c r="P487" s="77">
        <f>+Table13[[#This Row],[Bid Accepted]]/Table13[[#This Row],[Amount Offered]]</f>
        <v>1.7142857142857142E-3</v>
      </c>
      <c r="AG487" s="78"/>
      <c r="AH487" s="13"/>
      <c r="AN487" s="78"/>
      <c r="AP487" s="77"/>
      <c r="AU487" s="78"/>
      <c r="AV487" s="64"/>
      <c r="AX487" s="78"/>
      <c r="AY487" s="13"/>
    </row>
    <row r="488" spans="1:51" x14ac:dyDescent="0.2">
      <c r="A488" s="34">
        <v>44394</v>
      </c>
      <c r="B488" s="35" t="s">
        <v>282</v>
      </c>
      <c r="C488" s="54">
        <v>91</v>
      </c>
      <c r="D488" s="54"/>
      <c r="E488" s="44">
        <v>24000</v>
      </c>
      <c r="F488" s="44">
        <v>61478</v>
      </c>
      <c r="G488" s="54">
        <v>46033</v>
      </c>
      <c r="H488" s="57">
        <v>5.22</v>
      </c>
      <c r="I488" s="57">
        <v>5.21</v>
      </c>
      <c r="J488" s="32">
        <f t="array" ref="J48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44486</v>
      </c>
      <c r="K488" s="59">
        <f>IFERROR(Table13[[#This Row],[Bid Accepted]]*(Table13[[#This Row],[WAYR Current]]%/364*Table13[[#This Row],[Days To Maturity]]),0)</f>
        <v>600.73064999999997</v>
      </c>
      <c r="L488" s="41">
        <f>+Table13[[#This Row],[Bid Accepted]]-Table13[[#This Row],[Amount Offered]]</f>
        <v>22033</v>
      </c>
      <c r="M488" s="57">
        <f>+IF(Table13[[#This Row],[WAYR Last]]&gt;0,IF(Table13[[#This Row],[WAYR Current]]&gt;0,(Table13[[#This Row],[WAYR Current]]-Table13[[#This Row],[WAYR Last]]),""),"")</f>
        <v>9.9999999999997868E-3</v>
      </c>
      <c r="O488" s="77">
        <f>+Table13[[#This Row],[Bid Received]]/Table13[[#This Row],[Amount Offered]]</f>
        <v>2.5615833333333335</v>
      </c>
      <c r="P488" s="77">
        <f>+Table13[[#This Row],[Bid Accepted]]/Table13[[#This Row],[Amount Offered]]</f>
        <v>1.9180416666666666</v>
      </c>
      <c r="AG488" s="78"/>
      <c r="AH488" s="13"/>
      <c r="AN488" s="78"/>
      <c r="AP488" s="77"/>
      <c r="AU488" s="78"/>
      <c r="AV488" s="64"/>
      <c r="AX488" s="78"/>
      <c r="AY488" s="13"/>
    </row>
    <row r="489" spans="1:51" x14ac:dyDescent="0.2">
      <c r="A489" s="34">
        <v>44394</v>
      </c>
      <c r="B489" s="35" t="s">
        <v>283</v>
      </c>
      <c r="C489" s="54">
        <v>182</v>
      </c>
      <c r="D489" s="54"/>
      <c r="E489" s="44">
        <v>20000</v>
      </c>
      <c r="F489" s="44">
        <v>20037</v>
      </c>
      <c r="G489" s="54">
        <v>0</v>
      </c>
      <c r="H489" s="57">
        <v>0</v>
      </c>
      <c r="I489" s="57">
        <v>5.22</v>
      </c>
      <c r="J489" s="32">
        <f t="array" ref="J48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44578</v>
      </c>
      <c r="K489" s="59">
        <f>IFERROR(Table13[[#This Row],[Bid Accepted]]*(Table13[[#This Row],[WAYR Current]]%/364*Table13[[#This Row],[Days To Maturity]]),0)</f>
        <v>0</v>
      </c>
      <c r="L489" s="41">
        <f>+Table13[[#This Row],[Bid Accepted]]-Table13[[#This Row],[Amount Offered]]</f>
        <v>-20000</v>
      </c>
      <c r="M489" s="57" t="str">
        <f>+IF(Table13[[#This Row],[WAYR Last]]&gt;0,IF(Table13[[#This Row],[WAYR Current]]&gt;0,(Table13[[#This Row],[WAYR Current]]-Table13[[#This Row],[WAYR Last]]),""),"")</f>
        <v/>
      </c>
      <c r="O489" s="77">
        <f>+Table13[[#This Row],[Bid Received]]/Table13[[#This Row],[Amount Offered]]</f>
        <v>1.0018499999999999</v>
      </c>
      <c r="P489" s="77">
        <f>+Table13[[#This Row],[Bid Accepted]]/Table13[[#This Row],[Amount Offered]]</f>
        <v>0</v>
      </c>
      <c r="AG489" s="78"/>
      <c r="AH489" s="13"/>
      <c r="AN489" s="78"/>
      <c r="AP489" s="77"/>
      <c r="AU489" s="78"/>
      <c r="AV489" s="64"/>
      <c r="AX489" s="78"/>
      <c r="AY489" s="13"/>
    </row>
    <row r="490" spans="1:51" x14ac:dyDescent="0.2">
      <c r="A490" s="34">
        <v>44394</v>
      </c>
      <c r="B490" s="35" t="s">
        <v>284</v>
      </c>
      <c r="C490" s="54">
        <v>364</v>
      </c>
      <c r="D490" s="54"/>
      <c r="E490" s="44">
        <v>20000</v>
      </c>
      <c r="F490" s="44">
        <v>20000</v>
      </c>
      <c r="G490" s="54">
        <v>112</v>
      </c>
      <c r="H490" s="57">
        <v>5.25</v>
      </c>
      <c r="I490" s="57">
        <v>5.24</v>
      </c>
      <c r="J490" s="32">
        <f t="array" ref="J49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44759</v>
      </c>
      <c r="K490" s="59">
        <f>IFERROR(Table13[[#This Row],[Bid Accepted]]*(Table13[[#This Row],[WAYR Current]]%/364*Table13[[#This Row],[Days To Maturity]]),0)</f>
        <v>5.88</v>
      </c>
      <c r="L490" s="41">
        <f>+Table13[[#This Row],[Bid Accepted]]-Table13[[#This Row],[Amount Offered]]</f>
        <v>-19888</v>
      </c>
      <c r="M490" s="57">
        <f>+IF(Table13[[#This Row],[WAYR Last]]&gt;0,IF(Table13[[#This Row],[WAYR Current]]&gt;0,(Table13[[#This Row],[WAYR Current]]-Table13[[#This Row],[WAYR Last]]),""),"")</f>
        <v>9.9999999999997868E-3</v>
      </c>
      <c r="O490" s="77">
        <f>+Table13[[#This Row],[Bid Received]]/Table13[[#This Row],[Amount Offered]]</f>
        <v>1</v>
      </c>
      <c r="P490" s="77">
        <f>+Table13[[#This Row],[Bid Accepted]]/Table13[[#This Row],[Amount Offered]]</f>
        <v>5.5999999999999999E-3</v>
      </c>
      <c r="AG490" s="78"/>
      <c r="AH490" s="13"/>
      <c r="AN490" s="78"/>
      <c r="AP490" s="77"/>
      <c r="AU490" s="78"/>
      <c r="AV490" s="64"/>
      <c r="AX490" s="78"/>
      <c r="AY490" s="13"/>
    </row>
    <row r="491" spans="1:51" x14ac:dyDescent="0.2">
      <c r="A491" s="34">
        <v>44396</v>
      </c>
      <c r="B491" s="35" t="s">
        <v>282</v>
      </c>
      <c r="C491" s="54">
        <v>91</v>
      </c>
      <c r="D491" s="54"/>
      <c r="E491" s="44">
        <v>24000</v>
      </c>
      <c r="F491" s="44">
        <v>61478</v>
      </c>
      <c r="G491" s="54">
        <v>46033</v>
      </c>
      <c r="H491" s="57">
        <v>5.22</v>
      </c>
      <c r="I491" s="57">
        <v>5.21</v>
      </c>
      <c r="J491" s="32">
        <f t="array" ref="J49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44488</v>
      </c>
      <c r="K491" s="59">
        <f>IFERROR(Table13[[#This Row],[Bid Accepted]]*(Table13[[#This Row],[WAYR Current]]%/364*Table13[[#This Row],[Days To Maturity]]),0)</f>
        <v>600.73064999999997</v>
      </c>
      <c r="L491" s="41">
        <f>+Table13[[#This Row],[Bid Accepted]]-Table13[[#This Row],[Amount Offered]]</f>
        <v>22033</v>
      </c>
      <c r="M491" s="57">
        <f>+IF(Table13[[#This Row],[WAYR Last]]&gt;0,IF(Table13[[#This Row],[WAYR Current]]&gt;0,(Table13[[#This Row],[WAYR Current]]-Table13[[#This Row],[WAYR Last]]),""),"")</f>
        <v>9.9999999999997868E-3</v>
      </c>
      <c r="O491" s="77">
        <f>+Table13[[#This Row],[Bid Received]]/Table13[[#This Row],[Amount Offered]]</f>
        <v>2.5615833333333335</v>
      </c>
      <c r="P491" s="77">
        <f>+Table13[[#This Row],[Bid Accepted]]/Table13[[#This Row],[Amount Offered]]</f>
        <v>1.9180416666666666</v>
      </c>
      <c r="AG491" s="78"/>
      <c r="AH491" s="13"/>
      <c r="AN491" s="78"/>
      <c r="AP491" s="77"/>
      <c r="AU491" s="78"/>
      <c r="AV491" s="64"/>
      <c r="AX491" s="78"/>
      <c r="AY491" s="13"/>
    </row>
    <row r="492" spans="1:51" x14ac:dyDescent="0.2">
      <c r="A492" s="34">
        <v>44396</v>
      </c>
      <c r="B492" s="35" t="s">
        <v>283</v>
      </c>
      <c r="C492" s="54">
        <v>182</v>
      </c>
      <c r="D492" s="54"/>
      <c r="E492" s="44">
        <v>20000</v>
      </c>
      <c r="F492" s="44">
        <v>20037</v>
      </c>
      <c r="G492" s="54">
        <v>0</v>
      </c>
      <c r="H492" s="57">
        <v>0</v>
      </c>
      <c r="I492" s="57">
        <v>5.22</v>
      </c>
      <c r="J492" s="32">
        <f t="array" ref="J49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44580</v>
      </c>
      <c r="K492" s="59">
        <f>IFERROR(Table13[[#This Row],[Bid Accepted]]*(Table13[[#This Row],[WAYR Current]]%/364*Table13[[#This Row],[Days To Maturity]]),0)</f>
        <v>0</v>
      </c>
      <c r="L492" s="41">
        <f>+Table13[[#This Row],[Bid Accepted]]-Table13[[#This Row],[Amount Offered]]</f>
        <v>-20000</v>
      </c>
      <c r="M492" s="57" t="str">
        <f>+IF(Table13[[#This Row],[WAYR Last]]&gt;0,IF(Table13[[#This Row],[WAYR Current]]&gt;0,(Table13[[#This Row],[WAYR Current]]-Table13[[#This Row],[WAYR Last]]),""),"")</f>
        <v/>
      </c>
      <c r="O492" s="77">
        <f>+Table13[[#This Row],[Bid Received]]/Table13[[#This Row],[Amount Offered]]</f>
        <v>1.0018499999999999</v>
      </c>
      <c r="P492" s="77">
        <f>+Table13[[#This Row],[Bid Accepted]]/Table13[[#This Row],[Amount Offered]]</f>
        <v>0</v>
      </c>
      <c r="AG492" s="78"/>
      <c r="AH492" s="13"/>
      <c r="AN492" s="78"/>
      <c r="AP492" s="77"/>
      <c r="AU492" s="78"/>
      <c r="AV492" s="64"/>
      <c r="AX492" s="78"/>
      <c r="AY492" s="13"/>
    </row>
    <row r="493" spans="1:51" x14ac:dyDescent="0.2">
      <c r="A493" s="34">
        <v>44396</v>
      </c>
      <c r="B493" s="35" t="s">
        <v>284</v>
      </c>
      <c r="C493" s="54">
        <v>364</v>
      </c>
      <c r="D493" s="54"/>
      <c r="E493" s="44">
        <v>20000</v>
      </c>
      <c r="F493" s="44">
        <v>20000</v>
      </c>
      <c r="G493" s="54">
        <v>112</v>
      </c>
      <c r="H493" s="57">
        <v>5.25</v>
      </c>
      <c r="I493" s="57">
        <v>5.24</v>
      </c>
      <c r="J493" s="32">
        <f t="array" ref="J49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44761</v>
      </c>
      <c r="K493" s="59">
        <f>IFERROR(Table13[[#This Row],[Bid Accepted]]*(Table13[[#This Row],[WAYR Current]]%/364*Table13[[#This Row],[Days To Maturity]]),0)</f>
        <v>5.88</v>
      </c>
      <c r="L493" s="41">
        <f>+Table13[[#This Row],[Bid Accepted]]-Table13[[#This Row],[Amount Offered]]</f>
        <v>-19888</v>
      </c>
      <c r="M493" s="57">
        <f>+IF(Table13[[#This Row],[WAYR Last]]&gt;0,IF(Table13[[#This Row],[WAYR Current]]&gt;0,(Table13[[#This Row],[WAYR Current]]-Table13[[#This Row],[WAYR Last]]),""),"")</f>
        <v>9.9999999999997868E-3</v>
      </c>
      <c r="O493" s="77">
        <f>+Table13[[#This Row],[Bid Received]]/Table13[[#This Row],[Amount Offered]]</f>
        <v>1</v>
      </c>
      <c r="P493" s="77">
        <f>+Table13[[#This Row],[Bid Accepted]]/Table13[[#This Row],[Amount Offered]]</f>
        <v>5.5999999999999999E-3</v>
      </c>
      <c r="AG493" s="78"/>
      <c r="AH493" s="13"/>
      <c r="AN493" s="78"/>
      <c r="AP493" s="77"/>
      <c r="AU493" s="78"/>
      <c r="AV493" s="64"/>
      <c r="AX493" s="78"/>
      <c r="AY493" s="13"/>
    </row>
    <row r="494" spans="1:51" x14ac:dyDescent="0.2">
      <c r="A494" s="34">
        <v>44405</v>
      </c>
      <c r="B494" s="35" t="s">
        <v>285</v>
      </c>
      <c r="C494" s="54">
        <v>91</v>
      </c>
      <c r="D494" s="54"/>
      <c r="E494" s="44">
        <v>15000</v>
      </c>
      <c r="F494" s="44">
        <v>33464</v>
      </c>
      <c r="G494" s="54">
        <v>24707</v>
      </c>
      <c r="H494" s="57">
        <v>5.22</v>
      </c>
      <c r="I494" s="57">
        <v>5.22</v>
      </c>
      <c r="J494" s="32">
        <f t="array" ref="J49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44497</v>
      </c>
      <c r="K494" s="59">
        <f>IFERROR(Table13[[#This Row],[Bid Accepted]]*(Table13[[#This Row],[WAYR Current]]%/364*Table13[[#This Row],[Days To Maturity]]),0)</f>
        <v>322.42634999999996</v>
      </c>
      <c r="L494" s="41">
        <f>+Table13[[#This Row],[Bid Accepted]]-Table13[[#This Row],[Amount Offered]]</f>
        <v>9707</v>
      </c>
      <c r="M494" s="57">
        <f>+IF(Table13[[#This Row],[WAYR Last]]&gt;0,IF(Table13[[#This Row],[WAYR Current]]&gt;0,(Table13[[#This Row],[WAYR Current]]-Table13[[#This Row],[WAYR Last]]),""),"")</f>
        <v>0</v>
      </c>
      <c r="O494" s="77">
        <f>+Table13[[#This Row],[Bid Received]]/Table13[[#This Row],[Amount Offered]]</f>
        <v>2.2309333333333332</v>
      </c>
      <c r="P494" s="77">
        <f>+Table13[[#This Row],[Bid Accepted]]/Table13[[#This Row],[Amount Offered]]</f>
        <v>1.6471333333333333</v>
      </c>
      <c r="AG494" s="78"/>
      <c r="AH494" s="13"/>
      <c r="AN494" s="78"/>
      <c r="AP494" s="77"/>
      <c r="AU494" s="78"/>
      <c r="AV494" s="64"/>
      <c r="AX494" s="78"/>
      <c r="AY494" s="13"/>
    </row>
    <row r="495" spans="1:51" x14ac:dyDescent="0.2">
      <c r="A495" s="34">
        <v>44405</v>
      </c>
      <c r="B495" s="35" t="s">
        <v>286</v>
      </c>
      <c r="C495" s="54">
        <v>182</v>
      </c>
      <c r="D495" s="54"/>
      <c r="E495" s="44">
        <v>16000</v>
      </c>
      <c r="F495" s="44">
        <v>16037</v>
      </c>
      <c r="G495" s="54">
        <v>1337</v>
      </c>
      <c r="H495" s="57">
        <v>5.23</v>
      </c>
      <c r="I495" s="57">
        <v>5.22</v>
      </c>
      <c r="J495" s="32">
        <f t="array" ref="J49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44589</v>
      </c>
      <c r="K495" s="59">
        <f>IFERROR(Table13[[#This Row],[Bid Accepted]]*(Table13[[#This Row],[WAYR Current]]%/364*Table13[[#This Row],[Days To Maturity]]),0)</f>
        <v>34.96255</v>
      </c>
      <c r="L495" s="41">
        <f>+Table13[[#This Row],[Bid Accepted]]-Table13[[#This Row],[Amount Offered]]</f>
        <v>-14663</v>
      </c>
      <c r="M495" s="57">
        <f>+IF(Table13[[#This Row],[WAYR Last]]&gt;0,IF(Table13[[#This Row],[WAYR Current]]&gt;0,(Table13[[#This Row],[WAYR Current]]-Table13[[#This Row],[WAYR Last]]),""),"")</f>
        <v>1.0000000000000675E-2</v>
      </c>
      <c r="O495" s="77">
        <f>+Table13[[#This Row],[Bid Received]]/Table13[[#This Row],[Amount Offered]]</f>
        <v>1.0023124999999999</v>
      </c>
      <c r="P495" s="77">
        <f>+Table13[[#This Row],[Bid Accepted]]/Table13[[#This Row],[Amount Offered]]</f>
        <v>8.3562499999999998E-2</v>
      </c>
      <c r="AG495" s="78"/>
      <c r="AH495" s="13"/>
      <c r="AN495" s="78"/>
      <c r="AP495" s="77"/>
      <c r="AU495" s="78"/>
      <c r="AV495" s="64"/>
      <c r="AX495" s="78"/>
      <c r="AY495" s="13"/>
    </row>
    <row r="496" spans="1:51" x14ac:dyDescent="0.2">
      <c r="A496" s="34">
        <v>44405</v>
      </c>
      <c r="B496" s="35" t="s">
        <v>287</v>
      </c>
      <c r="C496" s="54">
        <v>364</v>
      </c>
      <c r="D496" s="54"/>
      <c r="E496" s="44">
        <v>16500</v>
      </c>
      <c r="F496" s="44">
        <v>16550</v>
      </c>
      <c r="G496" s="54">
        <v>1650</v>
      </c>
      <c r="H496" s="57">
        <v>5.25</v>
      </c>
      <c r="I496" s="57">
        <v>5.25</v>
      </c>
      <c r="J496" s="32">
        <f t="array" ref="J49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44770</v>
      </c>
      <c r="K496" s="59">
        <f>IFERROR(Table13[[#This Row],[Bid Accepted]]*(Table13[[#This Row],[WAYR Current]]%/364*Table13[[#This Row],[Days To Maturity]]),0)</f>
        <v>86.625</v>
      </c>
      <c r="L496" s="41">
        <f>+Table13[[#This Row],[Bid Accepted]]-Table13[[#This Row],[Amount Offered]]</f>
        <v>-14850</v>
      </c>
      <c r="M496" s="57">
        <f>+IF(Table13[[#This Row],[WAYR Last]]&gt;0,IF(Table13[[#This Row],[WAYR Current]]&gt;0,(Table13[[#This Row],[WAYR Current]]-Table13[[#This Row],[WAYR Last]]),""),"")</f>
        <v>0</v>
      </c>
      <c r="O496" s="77">
        <f>+Table13[[#This Row],[Bid Received]]/Table13[[#This Row],[Amount Offered]]</f>
        <v>1.0030303030303029</v>
      </c>
      <c r="P496" s="77">
        <f>+Table13[[#This Row],[Bid Accepted]]/Table13[[#This Row],[Amount Offered]]</f>
        <v>0.1</v>
      </c>
      <c r="AG496" s="78"/>
      <c r="AH496" s="13"/>
      <c r="AN496" s="78"/>
      <c r="AP496" s="77"/>
      <c r="AU496" s="78"/>
      <c r="AV496" s="64"/>
      <c r="AX496" s="78"/>
      <c r="AY496" s="13"/>
    </row>
    <row r="497" spans="1:51" x14ac:dyDescent="0.2">
      <c r="A497" s="34">
        <v>44412</v>
      </c>
      <c r="B497" s="35" t="s">
        <v>288</v>
      </c>
      <c r="C497" s="54">
        <v>91</v>
      </c>
      <c r="D497" s="54"/>
      <c r="E497" s="44">
        <v>14000</v>
      </c>
      <c r="F497" s="44">
        <v>41875</v>
      </c>
      <c r="G497" s="54">
        <v>36120</v>
      </c>
      <c r="H497" s="57">
        <v>5.24</v>
      </c>
      <c r="I497" s="57">
        <v>5.22</v>
      </c>
      <c r="J497" s="32">
        <f t="array" ref="J49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44504</v>
      </c>
      <c r="K497" s="59">
        <f>IFERROR(Table13[[#This Row],[Bid Accepted]]*(Table13[[#This Row],[WAYR Current]]%/364*Table13[[#This Row],[Days To Maturity]]),0)</f>
        <v>473.17200000000003</v>
      </c>
      <c r="L497" s="41">
        <f>+Table13[[#This Row],[Bid Accepted]]-Table13[[#This Row],[Amount Offered]]</f>
        <v>22120</v>
      </c>
      <c r="M497" s="57">
        <f>+IF(Table13[[#This Row],[WAYR Last]]&gt;0,IF(Table13[[#This Row],[WAYR Current]]&gt;0,(Table13[[#This Row],[WAYR Current]]-Table13[[#This Row],[WAYR Last]]),""),"")</f>
        <v>2.0000000000000462E-2</v>
      </c>
      <c r="O497" s="77">
        <f>+Table13[[#This Row],[Bid Received]]/Table13[[#This Row],[Amount Offered]]</f>
        <v>2.9910714285714284</v>
      </c>
      <c r="P497" s="77">
        <f>+Table13[[#This Row],[Bid Accepted]]/Table13[[#This Row],[Amount Offered]]</f>
        <v>2.58</v>
      </c>
      <c r="AG497" s="78"/>
      <c r="AH497" s="13"/>
      <c r="AN497" s="78"/>
      <c r="AP497" s="77"/>
      <c r="AU497" s="78"/>
      <c r="AV497" s="64"/>
      <c r="AX497" s="78"/>
      <c r="AY497" s="13"/>
    </row>
    <row r="498" spans="1:51" x14ac:dyDescent="0.2">
      <c r="A498" s="34">
        <v>44412</v>
      </c>
      <c r="B498" s="35" t="s">
        <v>289</v>
      </c>
      <c r="C498" s="54">
        <v>182</v>
      </c>
      <c r="D498" s="54"/>
      <c r="E498" s="44">
        <v>18000</v>
      </c>
      <c r="F498" s="44">
        <v>20124</v>
      </c>
      <c r="G498" s="54">
        <v>3629</v>
      </c>
      <c r="H498" s="57">
        <v>5.24</v>
      </c>
      <c r="I498" s="57">
        <v>5.23</v>
      </c>
      <c r="J498" s="32">
        <f t="array" ref="J49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44596</v>
      </c>
      <c r="K498" s="59">
        <f>IFERROR(Table13[[#This Row],[Bid Accepted]]*(Table13[[#This Row],[WAYR Current]]%/364*Table13[[#This Row],[Days To Maturity]]),0)</f>
        <v>95.079800000000006</v>
      </c>
      <c r="L498" s="41">
        <f>+Table13[[#This Row],[Bid Accepted]]-Table13[[#This Row],[Amount Offered]]</f>
        <v>-14371</v>
      </c>
      <c r="M498" s="57">
        <f>+IF(Table13[[#This Row],[WAYR Last]]&gt;0,IF(Table13[[#This Row],[WAYR Current]]&gt;0,(Table13[[#This Row],[WAYR Current]]-Table13[[#This Row],[WAYR Last]]),""),"")</f>
        <v>9.9999999999997868E-3</v>
      </c>
      <c r="O498" s="77">
        <f>+Table13[[#This Row],[Bid Received]]/Table13[[#This Row],[Amount Offered]]</f>
        <v>1.1180000000000001</v>
      </c>
      <c r="P498" s="77">
        <f>+Table13[[#This Row],[Bid Accepted]]/Table13[[#This Row],[Amount Offered]]</f>
        <v>0.2016111111111111</v>
      </c>
      <c r="AG498" s="78"/>
      <c r="AH498" s="13"/>
      <c r="AN498" s="78"/>
      <c r="AP498" s="77"/>
      <c r="AU498" s="78"/>
      <c r="AV498" s="64"/>
      <c r="AX498" s="78"/>
      <c r="AY498" s="13"/>
    </row>
    <row r="499" spans="1:51" x14ac:dyDescent="0.2">
      <c r="A499" s="34">
        <v>44412</v>
      </c>
      <c r="B499" s="35" t="s">
        <v>290</v>
      </c>
      <c r="C499" s="54">
        <v>364</v>
      </c>
      <c r="D499" s="54"/>
      <c r="E499" s="44">
        <v>14000</v>
      </c>
      <c r="F499" s="44">
        <v>14083</v>
      </c>
      <c r="G499" s="54">
        <v>283</v>
      </c>
      <c r="H499" s="57">
        <v>5.28</v>
      </c>
      <c r="I499" s="57">
        <v>5.25</v>
      </c>
      <c r="J499" s="32">
        <f t="array" ref="J49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44777</v>
      </c>
      <c r="K499" s="59">
        <f>IFERROR(Table13[[#This Row],[Bid Accepted]]*(Table13[[#This Row],[WAYR Current]]%/364*Table13[[#This Row],[Days To Maturity]]),0)</f>
        <v>14.942400000000001</v>
      </c>
      <c r="L499" s="41">
        <f>+Table13[[#This Row],[Bid Accepted]]-Table13[[#This Row],[Amount Offered]]</f>
        <v>-13717</v>
      </c>
      <c r="M499" s="57">
        <f>+IF(Table13[[#This Row],[WAYR Last]]&gt;0,IF(Table13[[#This Row],[WAYR Current]]&gt;0,(Table13[[#This Row],[WAYR Current]]-Table13[[#This Row],[WAYR Last]]),""),"")</f>
        <v>3.0000000000000249E-2</v>
      </c>
      <c r="O499" s="77">
        <f>+Table13[[#This Row],[Bid Received]]/Table13[[#This Row],[Amount Offered]]</f>
        <v>1.0059285714285715</v>
      </c>
      <c r="P499" s="77">
        <f>+Table13[[#This Row],[Bid Accepted]]/Table13[[#This Row],[Amount Offered]]</f>
        <v>2.0214285714285716E-2</v>
      </c>
      <c r="AG499" s="78"/>
      <c r="AH499" s="13"/>
      <c r="AN499" s="78"/>
      <c r="AP499" s="77"/>
      <c r="AU499" s="78"/>
      <c r="AV499" s="64"/>
      <c r="AX499" s="78"/>
      <c r="AY499" s="13"/>
    </row>
    <row r="500" spans="1:51" x14ac:dyDescent="0.2">
      <c r="A500" s="34">
        <v>44419</v>
      </c>
      <c r="B500" s="35" t="s">
        <v>291</v>
      </c>
      <c r="C500" s="54">
        <v>91</v>
      </c>
      <c r="D500" s="54"/>
      <c r="E500" s="44">
        <v>8000</v>
      </c>
      <c r="F500" s="44">
        <v>32865</v>
      </c>
      <c r="G500" s="54">
        <v>26225</v>
      </c>
      <c r="H500" s="57">
        <v>5.27</v>
      </c>
      <c r="I500" s="57">
        <v>5.24</v>
      </c>
      <c r="J500" s="32">
        <f t="array" ref="J50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44511</v>
      </c>
      <c r="K500" s="59">
        <f>IFERROR(Table13[[#This Row],[Bid Accepted]]*(Table13[[#This Row],[WAYR Current]]%/364*Table13[[#This Row],[Days To Maturity]]),0)</f>
        <v>345.51437499999997</v>
      </c>
      <c r="L500" s="41">
        <f>+Table13[[#This Row],[Bid Accepted]]-Table13[[#This Row],[Amount Offered]]</f>
        <v>18225</v>
      </c>
      <c r="M500" s="57">
        <f>+IF(Table13[[#This Row],[WAYR Last]]&gt;0,IF(Table13[[#This Row],[WAYR Current]]&gt;0,(Table13[[#This Row],[WAYR Current]]-Table13[[#This Row],[WAYR Last]]),""),"")</f>
        <v>2.9999999999999361E-2</v>
      </c>
      <c r="O500" s="77">
        <f>+Table13[[#This Row],[Bid Received]]/Table13[[#This Row],[Amount Offered]]</f>
        <v>4.1081250000000002</v>
      </c>
      <c r="P500" s="77">
        <f>+Table13[[#This Row],[Bid Accepted]]/Table13[[#This Row],[Amount Offered]]</f>
        <v>3.2781250000000002</v>
      </c>
      <c r="AG500" s="78"/>
      <c r="AH500" s="13"/>
      <c r="AN500" s="78"/>
      <c r="AP500" s="77"/>
      <c r="AU500" s="78"/>
      <c r="AV500" s="64"/>
      <c r="AX500" s="78"/>
      <c r="AY500" s="13"/>
    </row>
    <row r="501" spans="1:51" x14ac:dyDescent="0.2">
      <c r="A501" s="34">
        <v>44419</v>
      </c>
      <c r="B501" s="35" t="s">
        <v>292</v>
      </c>
      <c r="C501" s="54">
        <v>182</v>
      </c>
      <c r="D501" s="54"/>
      <c r="E501" s="44">
        <v>10000</v>
      </c>
      <c r="F501" s="44">
        <v>11333</v>
      </c>
      <c r="G501" s="54">
        <v>2183</v>
      </c>
      <c r="H501" s="57">
        <v>5.27</v>
      </c>
      <c r="I501" s="57">
        <v>5.24</v>
      </c>
      <c r="J501" s="32">
        <f t="array" ref="J50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44603</v>
      </c>
      <c r="K501" s="59">
        <f>IFERROR(Table13[[#This Row],[Bid Accepted]]*(Table13[[#This Row],[WAYR Current]]%/364*Table13[[#This Row],[Days To Maturity]]),0)</f>
        <v>57.522049999999993</v>
      </c>
      <c r="L501" s="41">
        <f>+Table13[[#This Row],[Bid Accepted]]-Table13[[#This Row],[Amount Offered]]</f>
        <v>-7817</v>
      </c>
      <c r="M501" s="57">
        <f>+IF(Table13[[#This Row],[WAYR Last]]&gt;0,IF(Table13[[#This Row],[WAYR Current]]&gt;0,(Table13[[#This Row],[WAYR Current]]-Table13[[#This Row],[WAYR Last]]),""),"")</f>
        <v>2.9999999999999361E-2</v>
      </c>
      <c r="O501" s="77">
        <f>+Table13[[#This Row],[Bid Received]]/Table13[[#This Row],[Amount Offered]]</f>
        <v>1.1333</v>
      </c>
      <c r="P501" s="77">
        <f>+Table13[[#This Row],[Bid Accepted]]/Table13[[#This Row],[Amount Offered]]</f>
        <v>0.21829999999999999</v>
      </c>
      <c r="Q501" s="77">
        <f>+Table13[[#This Row],[Bid Accepted]]/Table13[[#This Row],[Bid Received]]</f>
        <v>0.19262331245036618</v>
      </c>
      <c r="AG501" s="78"/>
      <c r="AH501" s="13"/>
      <c r="AN501" s="78"/>
      <c r="AP501" s="77"/>
      <c r="AU501" s="78"/>
      <c r="AV501" s="64"/>
      <c r="AX501" s="78"/>
      <c r="AY501" s="13"/>
    </row>
    <row r="502" spans="1:51" x14ac:dyDescent="0.2">
      <c r="A502" s="34">
        <v>44419</v>
      </c>
      <c r="B502" s="35" t="s">
        <v>293</v>
      </c>
      <c r="C502" s="54">
        <v>364</v>
      </c>
      <c r="D502" s="54"/>
      <c r="E502" s="44">
        <v>12500</v>
      </c>
      <c r="F502" s="44">
        <v>12510</v>
      </c>
      <c r="G502" s="54">
        <v>10</v>
      </c>
      <c r="H502" s="57">
        <v>5.32</v>
      </c>
      <c r="I502" s="57">
        <v>5.28</v>
      </c>
      <c r="J502" s="32">
        <f t="array" ref="J50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44784</v>
      </c>
      <c r="K502" s="59">
        <f>IFERROR(Table13[[#This Row],[Bid Accepted]]*(Table13[[#This Row],[WAYR Current]]%/364*Table13[[#This Row],[Days To Maturity]]),0)</f>
        <v>0.53200000000000014</v>
      </c>
      <c r="L502" s="41">
        <f>+Table13[[#This Row],[Bid Accepted]]-Table13[[#This Row],[Amount Offered]]</f>
        <v>-12490</v>
      </c>
      <c r="M502" s="57">
        <f>+IF(Table13[[#This Row],[WAYR Last]]&gt;0,IF(Table13[[#This Row],[WAYR Current]]&gt;0,(Table13[[#This Row],[WAYR Current]]-Table13[[#This Row],[WAYR Last]]),""),"")</f>
        <v>4.0000000000000036E-2</v>
      </c>
      <c r="O502" s="77">
        <f>+Table13[[#This Row],[Bid Received]]/Table13[[#This Row],[Amount Offered]]</f>
        <v>1.0007999999999999</v>
      </c>
      <c r="P502" s="77">
        <f>+Table13[[#This Row],[Bid Accepted]]/Table13[[#This Row],[Amount Offered]]</f>
        <v>8.0000000000000004E-4</v>
      </c>
      <c r="Q502" s="77">
        <f>+Table13[[#This Row],[Bid Accepted]]/Table13[[#This Row],[Bid Received]]</f>
        <v>7.993605115907274E-4</v>
      </c>
      <c r="AG502" s="78"/>
      <c r="AH502" s="13"/>
      <c r="AN502" s="78"/>
      <c r="AP502" s="77"/>
      <c r="AU502" s="78"/>
      <c r="AV502" s="64"/>
      <c r="AX502" s="78"/>
      <c r="AY502" s="13"/>
    </row>
    <row r="503" spans="1:51" x14ac:dyDescent="0.2">
      <c r="A503" s="34">
        <v>44426</v>
      </c>
      <c r="B503" s="35" t="s">
        <v>294</v>
      </c>
      <c r="C503" s="54">
        <v>91</v>
      </c>
      <c r="D503" s="54"/>
      <c r="E503" s="44">
        <v>17500</v>
      </c>
      <c r="F503" s="44">
        <v>31355</v>
      </c>
      <c r="G503" s="54">
        <v>23230</v>
      </c>
      <c r="H503" s="57">
        <v>5.33</v>
      </c>
      <c r="I503" s="57">
        <v>5.27</v>
      </c>
      <c r="J503" s="32">
        <f t="array" ref="J50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44518</v>
      </c>
      <c r="K503" s="59">
        <f>IFERROR(Table13[[#This Row],[Bid Accepted]]*(Table13[[#This Row],[WAYR Current]]%/364*Table13[[#This Row],[Days To Maturity]]),0)</f>
        <v>309.53975000000003</v>
      </c>
      <c r="L503" s="41">
        <f>+Table13[[#This Row],[Bid Accepted]]-Table13[[#This Row],[Amount Offered]]</f>
        <v>5730</v>
      </c>
      <c r="M503" s="57">
        <f>+IF(Table13[[#This Row],[WAYR Last]]&gt;0,IF(Table13[[#This Row],[WAYR Current]]&gt;0,(Table13[[#This Row],[WAYR Current]]-Table13[[#This Row],[WAYR Last]]),""),"")</f>
        <v>6.0000000000000497E-2</v>
      </c>
      <c r="O503" s="77">
        <f>+Table13[[#This Row],[Bid Received]]/Table13[[#This Row],[Amount Offered]]</f>
        <v>1.7917142857142858</v>
      </c>
      <c r="P503" s="77">
        <f>+Table13[[#This Row],[Bid Accepted]]/Table13[[#This Row],[Amount Offered]]</f>
        <v>1.3274285714285714</v>
      </c>
      <c r="Q503" s="77">
        <f>+Table13[[#This Row],[Bid Accepted]]/Table13[[#This Row],[Bid Received]]</f>
        <v>0.74087067453356725</v>
      </c>
      <c r="AG503" s="78"/>
      <c r="AH503" s="13"/>
      <c r="AN503" s="78"/>
      <c r="AP503" s="77"/>
      <c r="AU503" s="78"/>
      <c r="AV503" s="64"/>
      <c r="AX503" s="78"/>
      <c r="AY503" s="13"/>
    </row>
    <row r="504" spans="1:51" x14ac:dyDescent="0.2">
      <c r="A504" s="34">
        <v>44426</v>
      </c>
      <c r="B504" s="35" t="s">
        <v>295</v>
      </c>
      <c r="C504" s="54">
        <v>182</v>
      </c>
      <c r="D504" s="54"/>
      <c r="E504" s="44">
        <v>17500</v>
      </c>
      <c r="F504" s="44">
        <v>17500</v>
      </c>
      <c r="G504" s="54">
        <v>932</v>
      </c>
      <c r="H504" s="57">
        <v>5.34</v>
      </c>
      <c r="I504" s="57">
        <v>5.27</v>
      </c>
      <c r="J504" s="32">
        <f t="array" ref="J50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44610</v>
      </c>
      <c r="K504" s="59">
        <f>IFERROR(Table13[[#This Row],[Bid Accepted]]*(Table13[[#This Row],[WAYR Current]]%/364*Table13[[#This Row],[Days To Maturity]]),0)</f>
        <v>24.884400000000003</v>
      </c>
      <c r="L504" s="41">
        <f>+Table13[[#This Row],[Bid Accepted]]-Table13[[#This Row],[Amount Offered]]</f>
        <v>-16568</v>
      </c>
      <c r="M504" s="57">
        <f>+IF(Table13[[#This Row],[WAYR Last]]&gt;0,IF(Table13[[#This Row],[WAYR Current]]&gt;0,(Table13[[#This Row],[WAYR Current]]-Table13[[#This Row],[WAYR Last]]),""),"")</f>
        <v>7.0000000000000284E-2</v>
      </c>
      <c r="O504" s="77">
        <f>+Table13[[#This Row],[Bid Received]]/Table13[[#This Row],[Amount Offered]]</f>
        <v>1</v>
      </c>
      <c r="P504" s="77">
        <f>+Table13[[#This Row],[Bid Accepted]]/Table13[[#This Row],[Amount Offered]]</f>
        <v>5.3257142857142857E-2</v>
      </c>
      <c r="Q504" s="77">
        <f>+Table13[[#This Row],[Bid Accepted]]/Table13[[#This Row],[Bid Received]]</f>
        <v>5.3257142857142857E-2</v>
      </c>
      <c r="AG504" s="78"/>
      <c r="AH504" s="13"/>
      <c r="AN504" s="78"/>
      <c r="AP504" s="77"/>
      <c r="AU504" s="78"/>
      <c r="AV504" s="64"/>
      <c r="AX504" s="78"/>
      <c r="AY504" s="13"/>
    </row>
    <row r="505" spans="1:51" x14ac:dyDescent="0.2">
      <c r="A505" s="34">
        <v>44426</v>
      </c>
      <c r="B505" s="35" t="s">
        <v>296</v>
      </c>
      <c r="C505" s="54">
        <v>364</v>
      </c>
      <c r="D505" s="54"/>
      <c r="E505" s="44">
        <v>18500</v>
      </c>
      <c r="F505" s="44">
        <v>18500</v>
      </c>
      <c r="G505" s="57">
        <v>0</v>
      </c>
      <c r="H505" s="57">
        <v>0</v>
      </c>
      <c r="I505" s="57">
        <v>5.32</v>
      </c>
      <c r="J505" s="32">
        <f t="array" ref="J50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44791</v>
      </c>
      <c r="K505" s="59">
        <f>IFERROR(Table13[[#This Row],[Bid Accepted]]*(Table13[[#This Row],[WAYR Current]]%/364*Table13[[#This Row],[Days To Maturity]]),0)</f>
        <v>0</v>
      </c>
      <c r="L505" s="41">
        <f>+Table13[[#This Row],[Bid Accepted]]-Table13[[#This Row],[Amount Offered]]</f>
        <v>-18500</v>
      </c>
      <c r="M505" s="57" t="str">
        <f>+IF(Table13[[#This Row],[WAYR Last]]&gt;0,IF(Table13[[#This Row],[WAYR Current]]&gt;0,(Table13[[#This Row],[WAYR Current]]-Table13[[#This Row],[WAYR Last]]),""),"")</f>
        <v/>
      </c>
      <c r="O505" s="77">
        <f>+Table13[[#This Row],[Bid Received]]/Table13[[#This Row],[Amount Offered]]</f>
        <v>1</v>
      </c>
      <c r="P505" s="77">
        <f>+Table13[[#This Row],[Bid Accepted]]/Table13[[#This Row],[Amount Offered]]</f>
        <v>0</v>
      </c>
      <c r="Q505" s="77">
        <f>+Table13[[#This Row],[Bid Accepted]]/Table13[[#This Row],[Bid Received]]</f>
        <v>0</v>
      </c>
      <c r="AG505" s="78"/>
      <c r="AH505" s="13"/>
      <c r="AN505" s="78"/>
      <c r="AP505" s="77"/>
      <c r="AU505" s="78"/>
      <c r="AV505" s="64"/>
      <c r="AX505" s="78"/>
      <c r="AY505" s="13"/>
    </row>
    <row r="506" spans="1:51" x14ac:dyDescent="0.2">
      <c r="A506" s="34">
        <v>44433</v>
      </c>
      <c r="B506" s="35" t="s">
        <v>297</v>
      </c>
      <c r="C506" s="54">
        <v>91</v>
      </c>
      <c r="D506" s="54"/>
      <c r="E506" s="44">
        <v>16000</v>
      </c>
      <c r="F506" s="44">
        <v>43931</v>
      </c>
      <c r="G506" s="57">
        <v>33306</v>
      </c>
      <c r="H506" s="57">
        <v>5.87</v>
      </c>
      <c r="I506" s="57">
        <v>5.33</v>
      </c>
      <c r="J506" s="32">
        <f t="array" ref="J50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44525</v>
      </c>
      <c r="K506" s="59">
        <f>IFERROR(Table13[[#This Row],[Bid Accepted]]*(Table13[[#This Row],[WAYR Current]]%/364*Table13[[#This Row],[Days To Maturity]]),0)</f>
        <v>488.76555000000002</v>
      </c>
      <c r="L506" s="41">
        <f>+Table13[[#This Row],[Bid Accepted]]-Table13[[#This Row],[Amount Offered]]</f>
        <v>17306</v>
      </c>
      <c r="M506" s="57">
        <f>+IF(Table13[[#This Row],[WAYR Last]]&gt;0,IF(Table13[[#This Row],[WAYR Current]]&gt;0,(Table13[[#This Row],[WAYR Current]]-Table13[[#This Row],[WAYR Last]]),""),"")</f>
        <v>0.54</v>
      </c>
      <c r="O506" s="77">
        <f>+Table13[[#This Row],[Bid Received]]/Table13[[#This Row],[Amount Offered]]</f>
        <v>2.7456874999999998</v>
      </c>
      <c r="P506" s="77">
        <f>+Table13[[#This Row],[Bid Accepted]]/Table13[[#This Row],[Amount Offered]]</f>
        <v>2.0816249999999998</v>
      </c>
      <c r="Q506" s="77">
        <f>+Table13[[#This Row],[Bid Accepted]]/Table13[[#This Row],[Bid Received]]</f>
        <v>0.75814345223190915</v>
      </c>
      <c r="AG506" s="78"/>
      <c r="AH506" s="13"/>
      <c r="AN506" s="78"/>
      <c r="AP506" s="77"/>
      <c r="AU506" s="78"/>
      <c r="AV506" s="64"/>
      <c r="AX506" s="78"/>
      <c r="AY506" s="13"/>
    </row>
    <row r="507" spans="1:51" x14ac:dyDescent="0.2">
      <c r="A507" s="34">
        <v>44433</v>
      </c>
      <c r="B507" s="35" t="s">
        <v>298</v>
      </c>
      <c r="C507" s="54">
        <v>182</v>
      </c>
      <c r="D507" s="54"/>
      <c r="E507" s="44">
        <v>20000</v>
      </c>
      <c r="F507" s="44">
        <v>24011</v>
      </c>
      <c r="G507" s="57">
        <v>3811</v>
      </c>
      <c r="H507" s="57">
        <v>5.9</v>
      </c>
      <c r="I507" s="57">
        <v>5.34</v>
      </c>
      <c r="J507" s="32">
        <f t="array" ref="J50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44617</v>
      </c>
      <c r="K507" s="59">
        <f>IFERROR(Table13[[#This Row],[Bid Accepted]]*(Table13[[#This Row],[WAYR Current]]%/364*Table13[[#This Row],[Days To Maturity]]),0)</f>
        <v>112.42450000000002</v>
      </c>
      <c r="L507" s="41">
        <f>+Table13[[#This Row],[Bid Accepted]]-Table13[[#This Row],[Amount Offered]]</f>
        <v>-16189</v>
      </c>
      <c r="M507" s="57">
        <f>+IF(Table13[[#This Row],[WAYR Last]]&gt;0,IF(Table13[[#This Row],[WAYR Current]]&gt;0,(Table13[[#This Row],[WAYR Current]]-Table13[[#This Row],[WAYR Last]]),""),"")</f>
        <v>0.5600000000000005</v>
      </c>
      <c r="O507" s="77">
        <f>+Table13[[#This Row],[Bid Received]]/Table13[[#This Row],[Amount Offered]]</f>
        <v>1.20055</v>
      </c>
      <c r="P507" s="77">
        <f>+Table13[[#This Row],[Bid Accepted]]/Table13[[#This Row],[Amount Offered]]</f>
        <v>0.19055</v>
      </c>
      <c r="Q507" s="77">
        <f>+Table13[[#This Row],[Bid Accepted]]/Table13[[#This Row],[Bid Received]]</f>
        <v>0.15871892049477324</v>
      </c>
      <c r="AG507" s="78"/>
      <c r="AH507" s="13"/>
      <c r="AN507" s="78"/>
      <c r="AP507" s="77"/>
      <c r="AU507" s="78"/>
      <c r="AV507" s="64"/>
      <c r="AX507" s="78"/>
      <c r="AY507" s="13"/>
    </row>
    <row r="508" spans="1:51" x14ac:dyDescent="0.2">
      <c r="A508" s="34">
        <v>44433</v>
      </c>
      <c r="B508" s="35" t="s">
        <v>299</v>
      </c>
      <c r="C508" s="54">
        <v>364</v>
      </c>
      <c r="D508" s="54"/>
      <c r="E508" s="44">
        <v>20500</v>
      </c>
      <c r="F508" s="44">
        <v>20550</v>
      </c>
      <c r="G508" s="57">
        <v>200</v>
      </c>
      <c r="H508" s="57">
        <v>5.93</v>
      </c>
      <c r="I508" s="57">
        <v>5.32</v>
      </c>
      <c r="J508" s="32">
        <f t="array" ref="J50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44798</v>
      </c>
      <c r="K508" s="59">
        <f>IFERROR(Table13[[#This Row],[Bid Accepted]]*(Table13[[#This Row],[WAYR Current]]%/364*Table13[[#This Row],[Days To Maturity]]),0)</f>
        <v>11.86</v>
      </c>
      <c r="L508" s="41">
        <f>+Table13[[#This Row],[Bid Accepted]]-Table13[[#This Row],[Amount Offered]]</f>
        <v>-20300</v>
      </c>
      <c r="M508" s="57">
        <f>+IF(Table13[[#This Row],[WAYR Last]]&gt;0,IF(Table13[[#This Row],[WAYR Current]]&gt;0,(Table13[[#This Row],[WAYR Current]]-Table13[[#This Row],[WAYR Last]]),""),"")</f>
        <v>0.60999999999999943</v>
      </c>
      <c r="O508" s="77">
        <f>+Table13[[#This Row],[Bid Received]]/Table13[[#This Row],[Amount Offered]]</f>
        <v>1.0024390243902439</v>
      </c>
      <c r="P508" s="77">
        <f>+Table13[[#This Row],[Bid Accepted]]/Table13[[#This Row],[Amount Offered]]</f>
        <v>9.7560975609756097E-3</v>
      </c>
      <c r="Q508" s="77">
        <f>+Table13[[#This Row],[Bid Accepted]]/Table13[[#This Row],[Bid Received]]</f>
        <v>9.7323600973236012E-3</v>
      </c>
      <c r="AG508" s="78"/>
      <c r="AH508" s="13"/>
      <c r="AN508" s="78"/>
      <c r="AP508" s="77"/>
      <c r="AU508" s="78"/>
      <c r="AV508" s="64"/>
      <c r="AX508" s="78"/>
      <c r="AY508" s="13"/>
    </row>
    <row r="509" spans="1:51" x14ac:dyDescent="0.2">
      <c r="A509" s="34">
        <v>44440</v>
      </c>
      <c r="B509" s="35" t="s">
        <v>300</v>
      </c>
      <c r="C509" s="54">
        <v>91</v>
      </c>
      <c r="D509" s="54"/>
      <c r="E509" s="44">
        <v>18000</v>
      </c>
      <c r="F509" s="44">
        <v>32491</v>
      </c>
      <c r="G509" s="57">
        <v>23336</v>
      </c>
      <c r="H509" s="57">
        <v>5.92</v>
      </c>
      <c r="I509" s="57">
        <v>5.87</v>
      </c>
      <c r="J509" s="32">
        <f t="array" ref="J50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44531</v>
      </c>
      <c r="K509" s="59">
        <f>IFERROR(Table13[[#This Row],[Bid Accepted]]*(Table13[[#This Row],[WAYR Current]]%/364*Table13[[#This Row],[Days To Maturity]]),0)</f>
        <v>345.37280000000004</v>
      </c>
      <c r="L509" s="41">
        <f>+Table13[[#This Row],[Bid Accepted]]-Table13[[#This Row],[Amount Offered]]</f>
        <v>5336</v>
      </c>
      <c r="M509" s="57">
        <f>+IF(Table13[[#This Row],[WAYR Last]]&gt;0,IF(Table13[[#This Row],[WAYR Current]]&gt;0,(Table13[[#This Row],[WAYR Current]]-Table13[[#This Row],[WAYR Last]]),""),"")</f>
        <v>4.9999999999999822E-2</v>
      </c>
      <c r="O509" s="77">
        <f>+Table13[[#This Row],[Bid Received]]/Table13[[#This Row],[Amount Offered]]</f>
        <v>1.8050555555555556</v>
      </c>
      <c r="P509" s="77">
        <f>+Table13[[#This Row],[Bid Accepted]]/Table13[[#This Row],[Amount Offered]]</f>
        <v>1.2964444444444445</v>
      </c>
      <c r="Q509" s="77">
        <f>+Table13[[#This Row],[Bid Accepted]]/Table13[[#This Row],[Bid Received]]</f>
        <v>0.71822966359915053</v>
      </c>
      <c r="AG509" s="78"/>
      <c r="AH509" s="13"/>
      <c r="AN509" s="78"/>
      <c r="AP509" s="77"/>
      <c r="AU509" s="78"/>
      <c r="AV509" s="64"/>
      <c r="AX509" s="78"/>
      <c r="AY509" s="13"/>
    </row>
    <row r="510" spans="1:51" x14ac:dyDescent="0.2">
      <c r="A510" s="34">
        <v>44440</v>
      </c>
      <c r="B510" s="35" t="s">
        <v>301</v>
      </c>
      <c r="C510" s="54">
        <v>182</v>
      </c>
      <c r="D510" s="54"/>
      <c r="E510" s="44">
        <v>23000</v>
      </c>
      <c r="F510" s="44">
        <v>23105</v>
      </c>
      <c r="G510" s="57">
        <v>1875</v>
      </c>
      <c r="H510" s="57">
        <v>5.95</v>
      </c>
      <c r="I510" s="57">
        <v>5.9</v>
      </c>
      <c r="J510" s="32">
        <f t="array" ref="J51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44621</v>
      </c>
      <c r="K510" s="59">
        <f>IFERROR(Table13[[#This Row],[Bid Accepted]]*(Table13[[#This Row],[WAYR Current]]%/364*Table13[[#This Row],[Days To Maturity]]),0)</f>
        <v>55.781250000000007</v>
      </c>
      <c r="L510" s="41">
        <f>+Table13[[#This Row],[Bid Accepted]]-Table13[[#This Row],[Amount Offered]]</f>
        <v>-21125</v>
      </c>
      <c r="M510" s="57">
        <f>+IF(Table13[[#This Row],[WAYR Last]]&gt;0,IF(Table13[[#This Row],[WAYR Current]]&gt;0,(Table13[[#This Row],[WAYR Current]]-Table13[[#This Row],[WAYR Last]]),""),"")</f>
        <v>4.9999999999999822E-2</v>
      </c>
      <c r="O510" s="77">
        <f>+Table13[[#This Row],[Bid Received]]/Table13[[#This Row],[Amount Offered]]</f>
        <v>1.0045652173913044</v>
      </c>
      <c r="P510" s="77">
        <f>+Table13[[#This Row],[Bid Accepted]]/Table13[[#This Row],[Amount Offered]]</f>
        <v>8.1521739130434784E-2</v>
      </c>
      <c r="Q510" s="77">
        <f>+Table13[[#This Row],[Bid Accepted]]/Table13[[#This Row],[Bid Received]]</f>
        <v>8.1151265959748975E-2</v>
      </c>
      <c r="AG510" s="78"/>
      <c r="AH510" s="13"/>
      <c r="AN510" s="78"/>
      <c r="AP510" s="77"/>
      <c r="AU510" s="78"/>
      <c r="AV510" s="64"/>
      <c r="AX510" s="78"/>
      <c r="AY510" s="13"/>
    </row>
    <row r="511" spans="1:51" x14ac:dyDescent="0.2">
      <c r="A511" s="34">
        <v>44440</v>
      </c>
      <c r="B511" s="35" t="s">
        <v>302</v>
      </c>
      <c r="C511" s="54">
        <v>364</v>
      </c>
      <c r="D511" s="54"/>
      <c r="E511" s="44">
        <v>27500</v>
      </c>
      <c r="F511" s="44">
        <v>27510</v>
      </c>
      <c r="G511" s="57">
        <v>40</v>
      </c>
      <c r="H511" s="57">
        <v>5.96</v>
      </c>
      <c r="I511" s="57">
        <v>5.93</v>
      </c>
      <c r="J511" s="32">
        <f t="array" ref="J51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44805</v>
      </c>
      <c r="K511" s="59">
        <f>IFERROR(Table13[[#This Row],[Bid Accepted]]*(Table13[[#This Row],[WAYR Current]]%/364*Table13[[#This Row],[Days To Maturity]]),0)</f>
        <v>2.3840000000000003</v>
      </c>
      <c r="L511" s="41">
        <f>+Table13[[#This Row],[Bid Accepted]]-Table13[[#This Row],[Amount Offered]]</f>
        <v>-27460</v>
      </c>
      <c r="M511" s="57">
        <f>+IF(Table13[[#This Row],[WAYR Last]]&gt;0,IF(Table13[[#This Row],[WAYR Current]]&gt;0,(Table13[[#This Row],[WAYR Current]]-Table13[[#This Row],[WAYR Last]]),""),"")</f>
        <v>3.0000000000000249E-2</v>
      </c>
      <c r="O511" s="77">
        <f>+Table13[[#This Row],[Bid Received]]/Table13[[#This Row],[Amount Offered]]</f>
        <v>1.0003636363636363</v>
      </c>
      <c r="P511" s="77">
        <f>+Table13[[#This Row],[Bid Accepted]]/Table13[[#This Row],[Amount Offered]]</f>
        <v>1.4545454545454545E-3</v>
      </c>
      <c r="Q511" s="77">
        <f>+Table13[[#This Row],[Bid Accepted]]/Table13[[#This Row],[Bid Received]]</f>
        <v>1.4540167211922936E-3</v>
      </c>
      <c r="AG511" s="78"/>
      <c r="AH511" s="13"/>
      <c r="AN511" s="78"/>
      <c r="AP511" s="77"/>
      <c r="AU511" s="78"/>
      <c r="AV511" s="64"/>
      <c r="AX511" s="78"/>
      <c r="AY511" s="13"/>
    </row>
    <row r="512" spans="1:51" x14ac:dyDescent="0.2">
      <c r="A512" s="34">
        <v>44447</v>
      </c>
      <c r="B512" s="35" t="s">
        <v>303</v>
      </c>
      <c r="C512" s="54">
        <v>91</v>
      </c>
      <c r="D512" s="54"/>
      <c r="E512" s="44">
        <v>18000</v>
      </c>
      <c r="F512" s="44">
        <v>38219</v>
      </c>
      <c r="G512" s="57">
        <v>29869</v>
      </c>
      <c r="H512" s="57">
        <v>6.01</v>
      </c>
      <c r="I512" s="57">
        <v>5.92</v>
      </c>
      <c r="J512" s="32">
        <f t="array" ref="J51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44538</v>
      </c>
      <c r="K512" s="59">
        <f>IFERROR(Table13[[#This Row],[Bid Accepted]]*(Table13[[#This Row],[WAYR Current]]%/364*Table13[[#This Row],[Days To Maturity]]),0)</f>
        <v>448.78172499999994</v>
      </c>
      <c r="L512" s="41">
        <f>+Table13[[#This Row],[Bid Accepted]]-Table13[[#This Row],[Amount Offered]]</f>
        <v>11869</v>
      </c>
      <c r="M512" s="57">
        <f>+IF(Table13[[#This Row],[WAYR Last]]&gt;0,IF(Table13[[#This Row],[WAYR Current]]&gt;0,(Table13[[#This Row],[WAYR Current]]-Table13[[#This Row],[WAYR Last]]),""),"")</f>
        <v>8.9999999999999858E-2</v>
      </c>
      <c r="O512" s="77">
        <f>+Table13[[#This Row],[Bid Received]]/Table13[[#This Row],[Amount Offered]]</f>
        <v>2.1232777777777776</v>
      </c>
      <c r="P512" s="77">
        <f>+Table13[[#This Row],[Bid Accepted]]/Table13[[#This Row],[Amount Offered]]</f>
        <v>1.6593888888888888</v>
      </c>
      <c r="Q512" s="77">
        <f>+Table13[[#This Row],[Bid Accepted]]/Table13[[#This Row],[Bid Received]]</f>
        <v>0.78152227949449227</v>
      </c>
      <c r="AG512" s="78"/>
      <c r="AH512" s="13"/>
      <c r="AN512" s="78"/>
      <c r="AP512" s="77"/>
      <c r="AU512" s="78"/>
      <c r="AV512" s="64"/>
      <c r="AX512" s="78"/>
      <c r="AY512" s="13"/>
    </row>
    <row r="513" spans="1:51" x14ac:dyDescent="0.2">
      <c r="A513" s="34">
        <v>44447</v>
      </c>
      <c r="B513" s="35" t="s">
        <v>304</v>
      </c>
      <c r="C513" s="54">
        <v>182</v>
      </c>
      <c r="D513" s="54"/>
      <c r="E513" s="44">
        <v>22000</v>
      </c>
      <c r="F513" s="44">
        <v>22050</v>
      </c>
      <c r="G513" s="57">
        <v>0</v>
      </c>
      <c r="H513" s="57">
        <v>0</v>
      </c>
      <c r="I513" s="57">
        <v>5.95</v>
      </c>
      <c r="J513" s="32">
        <f t="array" ref="J51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44628</v>
      </c>
      <c r="K513" s="59">
        <f>IFERROR(Table13[[#This Row],[Bid Accepted]]*(Table13[[#This Row],[WAYR Current]]%/364*Table13[[#This Row],[Days To Maturity]]),0)</f>
        <v>0</v>
      </c>
      <c r="L513" s="41">
        <f>+Table13[[#This Row],[Bid Accepted]]-Table13[[#This Row],[Amount Offered]]</f>
        <v>-22000</v>
      </c>
      <c r="M513" s="57" t="str">
        <f>+IF(Table13[[#This Row],[WAYR Last]]&gt;0,IF(Table13[[#This Row],[WAYR Current]]&gt;0,(Table13[[#This Row],[WAYR Current]]-Table13[[#This Row],[WAYR Last]]),""),"")</f>
        <v/>
      </c>
      <c r="O513" s="77">
        <f>+Table13[[#This Row],[Bid Received]]/Table13[[#This Row],[Amount Offered]]</f>
        <v>1.0022727272727272</v>
      </c>
      <c r="P513" s="77">
        <f>+Table13[[#This Row],[Bid Accepted]]/Table13[[#This Row],[Amount Offered]]</f>
        <v>0</v>
      </c>
      <c r="Q513" s="77">
        <f>+Table13[[#This Row],[Bid Accepted]]/Table13[[#This Row],[Bid Received]]</f>
        <v>0</v>
      </c>
      <c r="AG513" s="78"/>
      <c r="AH513" s="13"/>
      <c r="AN513" s="78"/>
      <c r="AP513" s="77"/>
      <c r="AU513" s="78"/>
      <c r="AV513" s="64"/>
      <c r="AX513" s="78"/>
      <c r="AY513" s="13"/>
    </row>
    <row r="514" spans="1:51" x14ac:dyDescent="0.2">
      <c r="A514" s="34">
        <v>44447</v>
      </c>
      <c r="B514" s="35" t="s">
        <v>305</v>
      </c>
      <c r="C514" s="54">
        <v>364</v>
      </c>
      <c r="D514" s="54"/>
      <c r="E514" s="44">
        <v>24000</v>
      </c>
      <c r="F514" s="44">
        <v>24060</v>
      </c>
      <c r="G514" s="57">
        <v>915</v>
      </c>
      <c r="H514" s="57">
        <v>6.05</v>
      </c>
      <c r="I514" s="57">
        <v>5.96</v>
      </c>
      <c r="J514" s="32">
        <f t="array" ref="J51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44812</v>
      </c>
      <c r="K514" s="59">
        <f>IFERROR(Table13[[#This Row],[Bid Accepted]]*(Table13[[#This Row],[WAYR Current]]%/364*Table13[[#This Row],[Days To Maturity]]),0)</f>
        <v>55.357500000000002</v>
      </c>
      <c r="L514" s="41">
        <f>+Table13[[#This Row],[Bid Accepted]]-Table13[[#This Row],[Amount Offered]]</f>
        <v>-23085</v>
      </c>
      <c r="M514" s="57">
        <f>+IF(Table13[[#This Row],[WAYR Last]]&gt;0,IF(Table13[[#This Row],[WAYR Current]]&gt;0,(Table13[[#This Row],[WAYR Current]]-Table13[[#This Row],[WAYR Last]]),""),"")</f>
        <v>8.9999999999999858E-2</v>
      </c>
      <c r="O514" s="77">
        <f>+Table13[[#This Row],[Bid Received]]/Table13[[#This Row],[Amount Offered]]</f>
        <v>1.0024999999999999</v>
      </c>
      <c r="P514" s="77">
        <f>+Table13[[#This Row],[Bid Accepted]]/Table13[[#This Row],[Amount Offered]]</f>
        <v>3.8124999999999999E-2</v>
      </c>
      <c r="Q514" s="77">
        <f>+Table13[[#This Row],[Bid Accepted]]/Table13[[#This Row],[Bid Received]]</f>
        <v>3.8029925187032416E-2</v>
      </c>
      <c r="AG514" s="78"/>
      <c r="AH514" s="13"/>
      <c r="AN514" s="78"/>
      <c r="AP514" s="77"/>
      <c r="AU514" s="78"/>
      <c r="AV514" s="64"/>
      <c r="AX514" s="78"/>
      <c r="AY514" s="13"/>
    </row>
    <row r="515" spans="1:51" x14ac:dyDescent="0.2">
      <c r="A515" s="34">
        <v>44454</v>
      </c>
      <c r="B515" s="35" t="s">
        <v>306</v>
      </c>
      <c r="C515" s="54">
        <v>91</v>
      </c>
      <c r="D515" s="54"/>
      <c r="E515" s="44">
        <v>12000</v>
      </c>
      <c r="F515" s="44">
        <v>24907</v>
      </c>
      <c r="G515" s="57">
        <v>19292</v>
      </c>
      <c r="H515" s="57">
        <v>6.08</v>
      </c>
      <c r="I515" s="57">
        <v>6.01</v>
      </c>
      <c r="J515" s="32">
        <f t="array" ref="J51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44545</v>
      </c>
      <c r="K515" s="59">
        <f>IFERROR(Table13[[#This Row],[Bid Accepted]]*(Table13[[#This Row],[WAYR Current]]%/364*Table13[[#This Row],[Days To Maturity]]),0)</f>
        <v>293.23840000000001</v>
      </c>
      <c r="L515" s="41">
        <f>+Table13[[#This Row],[Bid Accepted]]-Table13[[#This Row],[Amount Offered]]</f>
        <v>7292</v>
      </c>
      <c r="M515" s="57">
        <f>+IF(Table13[[#This Row],[WAYR Last]]&gt;0,IF(Table13[[#This Row],[WAYR Current]]&gt;0,(Table13[[#This Row],[WAYR Current]]-Table13[[#This Row],[WAYR Last]]),""),"")</f>
        <v>7.0000000000000284E-2</v>
      </c>
      <c r="O515" s="77">
        <f>+Table13[[#This Row],[Bid Received]]/Table13[[#This Row],[Amount Offered]]</f>
        <v>2.0755833333333333</v>
      </c>
      <c r="P515" s="77">
        <f>+Table13[[#This Row],[Bid Accepted]]/Table13[[#This Row],[Amount Offered]]</f>
        <v>1.6076666666666666</v>
      </c>
      <c r="Q515" s="77">
        <f>+Table13[[#This Row],[Bid Accepted]]/Table13[[#This Row],[Bid Received]]</f>
        <v>0.77456136829003897</v>
      </c>
      <c r="AG515" s="78"/>
      <c r="AH515" s="13"/>
      <c r="AN515" s="78"/>
      <c r="AP515" s="77"/>
      <c r="AU515" s="78"/>
      <c r="AV515" s="64"/>
      <c r="AX515" s="78"/>
      <c r="AY515" s="13"/>
    </row>
    <row r="516" spans="1:51" x14ac:dyDescent="0.2">
      <c r="A516" s="34">
        <v>44454</v>
      </c>
      <c r="B516" s="35" t="s">
        <v>307</v>
      </c>
      <c r="C516" s="54">
        <v>182</v>
      </c>
      <c r="D516" s="54"/>
      <c r="E516" s="44">
        <v>12500</v>
      </c>
      <c r="F516" s="44">
        <v>12947</v>
      </c>
      <c r="G516" s="57">
        <v>0</v>
      </c>
      <c r="H516" s="57">
        <v>0</v>
      </c>
      <c r="I516" s="57">
        <v>5.95</v>
      </c>
      <c r="J516" s="32">
        <f t="array" ref="J51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44635</v>
      </c>
      <c r="K516" s="59">
        <f>IFERROR(Table13[[#This Row],[Bid Accepted]]*(Table13[[#This Row],[WAYR Current]]%/364*Table13[[#This Row],[Days To Maturity]]),0)</f>
        <v>0</v>
      </c>
      <c r="L516" s="41">
        <f>+Table13[[#This Row],[Bid Accepted]]-Table13[[#This Row],[Amount Offered]]</f>
        <v>-12500</v>
      </c>
      <c r="M516" s="57" t="str">
        <f>+IF(Table13[[#This Row],[WAYR Last]]&gt;0,IF(Table13[[#This Row],[WAYR Current]]&gt;0,(Table13[[#This Row],[WAYR Current]]-Table13[[#This Row],[WAYR Last]]),""),"")</f>
        <v/>
      </c>
      <c r="O516" s="77">
        <f>+Table13[[#This Row],[Bid Received]]/Table13[[#This Row],[Amount Offered]]</f>
        <v>1.03576</v>
      </c>
      <c r="P516" s="77">
        <f>+Table13[[#This Row],[Bid Accepted]]/Table13[[#This Row],[Amount Offered]]</f>
        <v>0</v>
      </c>
      <c r="Q516" s="77">
        <f>+Table13[[#This Row],[Bid Accepted]]/Table13[[#This Row],[Bid Received]]</f>
        <v>0</v>
      </c>
      <c r="AG516" s="78"/>
      <c r="AH516" s="13"/>
      <c r="AN516" s="78"/>
      <c r="AP516" s="77"/>
      <c r="AU516" s="78"/>
      <c r="AV516" s="64"/>
      <c r="AX516" s="78"/>
      <c r="AY516" s="13"/>
    </row>
    <row r="517" spans="1:51" x14ac:dyDescent="0.2">
      <c r="A517" s="34">
        <v>44454</v>
      </c>
      <c r="B517" s="35" t="s">
        <v>308</v>
      </c>
      <c r="C517" s="54">
        <v>364</v>
      </c>
      <c r="D517" s="54"/>
      <c r="E517" s="44">
        <v>15000</v>
      </c>
      <c r="F517" s="44">
        <v>15086</v>
      </c>
      <c r="G517" s="57">
        <v>286</v>
      </c>
      <c r="H517" s="57">
        <v>6.12</v>
      </c>
      <c r="I517" s="57">
        <v>6.05</v>
      </c>
      <c r="J517" s="32">
        <f t="array" ref="J51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44819</v>
      </c>
      <c r="K517" s="59">
        <f>IFERROR(Table13[[#This Row],[Bid Accepted]]*(Table13[[#This Row],[WAYR Current]]%/364*Table13[[#This Row],[Days To Maturity]]),0)</f>
        <v>17.5032</v>
      </c>
      <c r="L517" s="41">
        <f>+Table13[[#This Row],[Bid Accepted]]-Table13[[#This Row],[Amount Offered]]</f>
        <v>-14714</v>
      </c>
      <c r="M517" s="57">
        <f>+IF(Table13[[#This Row],[WAYR Last]]&gt;0,IF(Table13[[#This Row],[WAYR Current]]&gt;0,(Table13[[#This Row],[WAYR Current]]-Table13[[#This Row],[WAYR Last]]),""),"")</f>
        <v>7.0000000000000284E-2</v>
      </c>
      <c r="O517" s="77">
        <f>+Table13[[#This Row],[Bid Received]]/Table13[[#This Row],[Amount Offered]]</f>
        <v>1.0057333333333334</v>
      </c>
      <c r="P517" s="77">
        <f>+Table13[[#This Row],[Bid Accepted]]/Table13[[#This Row],[Amount Offered]]</f>
        <v>1.9066666666666666E-2</v>
      </c>
      <c r="Q517" s="77">
        <f>+Table13[[#This Row],[Bid Accepted]]/Table13[[#This Row],[Bid Received]]</f>
        <v>1.8957974280790137E-2</v>
      </c>
      <c r="AG517" s="78"/>
      <c r="AH517" s="13"/>
      <c r="AN517" s="78"/>
      <c r="AP517" s="77"/>
      <c r="AU517" s="78"/>
      <c r="AV517" s="64"/>
      <c r="AX517" s="78"/>
      <c r="AY517" s="13"/>
    </row>
    <row r="518" spans="1:51" x14ac:dyDescent="0.2">
      <c r="A518" s="34">
        <v>44461</v>
      </c>
      <c r="B518" s="35" t="s">
        <v>309</v>
      </c>
      <c r="C518" s="54">
        <v>91</v>
      </c>
      <c r="D518" s="54"/>
      <c r="E518" s="44">
        <v>10000</v>
      </c>
      <c r="F518" s="44">
        <v>25603</v>
      </c>
      <c r="G518" s="57">
        <v>19883</v>
      </c>
      <c r="H518" s="57">
        <v>6.38</v>
      </c>
      <c r="I518" s="57">
        <v>6.08</v>
      </c>
      <c r="J518" s="32">
        <f t="array" ref="J51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44552</v>
      </c>
      <c r="K518" s="59">
        <f>IFERROR(Table13[[#This Row],[Bid Accepted]]*(Table13[[#This Row],[WAYR Current]]%/364*Table13[[#This Row],[Days To Maturity]]),0)</f>
        <v>317.13385</v>
      </c>
      <c r="L518" s="41">
        <f>+Table13[[#This Row],[Bid Accepted]]-Table13[[#This Row],[Amount Offered]]</f>
        <v>9883</v>
      </c>
      <c r="M518" s="57">
        <f>+IF(Table13[[#This Row],[WAYR Last]]&gt;0,IF(Table13[[#This Row],[WAYR Current]]&gt;0,(Table13[[#This Row],[WAYR Current]]-Table13[[#This Row],[WAYR Last]]),""),"")</f>
        <v>0.29999999999999982</v>
      </c>
      <c r="O518" s="77">
        <f>+Table13[[#This Row],[Bid Received]]/Table13[[#This Row],[Amount Offered]]</f>
        <v>2.5602999999999998</v>
      </c>
      <c r="P518" s="77">
        <f>+Table13[[#This Row],[Bid Accepted]]/Table13[[#This Row],[Amount Offered]]</f>
        <v>1.9883</v>
      </c>
      <c r="Q518" s="77">
        <f>+Table13[[#This Row],[Bid Accepted]]/Table13[[#This Row],[Bid Received]]</f>
        <v>0.77658868101394363</v>
      </c>
      <c r="AG518" s="78"/>
      <c r="AH518" s="13"/>
      <c r="AN518" s="78"/>
      <c r="AP518" s="77"/>
      <c r="AU518" s="78"/>
      <c r="AV518" s="64"/>
      <c r="AX518" s="78"/>
      <c r="AY518" s="13"/>
    </row>
    <row r="519" spans="1:51" x14ac:dyDescent="0.2">
      <c r="A519" s="34">
        <v>44461</v>
      </c>
      <c r="B519" s="35" t="s">
        <v>310</v>
      </c>
      <c r="C519" s="54">
        <v>182</v>
      </c>
      <c r="D519" s="54"/>
      <c r="E519" s="44">
        <v>13000</v>
      </c>
      <c r="F519" s="44">
        <v>13270</v>
      </c>
      <c r="G519" s="57">
        <v>58</v>
      </c>
      <c r="H519" s="57">
        <v>6.27</v>
      </c>
      <c r="I519" s="57">
        <v>5.95</v>
      </c>
      <c r="J519" s="32">
        <f t="array" ref="J51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44642</v>
      </c>
      <c r="K519" s="59">
        <f>IFERROR(Table13[[#This Row],[Bid Accepted]]*(Table13[[#This Row],[WAYR Current]]%/364*Table13[[#This Row],[Days To Maturity]]),0)</f>
        <v>1.8182999999999998</v>
      </c>
      <c r="L519" s="41">
        <f>+Table13[[#This Row],[Bid Accepted]]-Table13[[#This Row],[Amount Offered]]</f>
        <v>-12942</v>
      </c>
      <c r="M519" s="57">
        <f>+IF(Table13[[#This Row],[WAYR Last]]&gt;0,IF(Table13[[#This Row],[WAYR Current]]&gt;0,(Table13[[#This Row],[WAYR Current]]-Table13[[#This Row],[WAYR Last]]),""),"")</f>
        <v>0.3199999999999994</v>
      </c>
      <c r="O519" s="77">
        <f>+Table13[[#This Row],[Bid Received]]/Table13[[#This Row],[Amount Offered]]</f>
        <v>1.0207692307692309</v>
      </c>
      <c r="P519" s="77">
        <f>+Table13[[#This Row],[Bid Accepted]]/Table13[[#This Row],[Amount Offered]]</f>
        <v>4.4615384615384612E-3</v>
      </c>
      <c r="Q519" s="77">
        <f>+Table13[[#This Row],[Bid Accepted]]/Table13[[#This Row],[Bid Received]]</f>
        <v>4.3707611152976637E-3</v>
      </c>
      <c r="AG519" s="78"/>
      <c r="AH519" s="13"/>
      <c r="AN519" s="78"/>
      <c r="AP519" s="77"/>
      <c r="AU519" s="78"/>
      <c r="AV519" s="64"/>
      <c r="AX519" s="78"/>
      <c r="AY519" s="13"/>
    </row>
    <row r="520" spans="1:51" x14ac:dyDescent="0.2">
      <c r="A520" s="34">
        <v>44461</v>
      </c>
      <c r="B520" s="35" t="s">
        <v>311</v>
      </c>
      <c r="C520" s="54">
        <v>364</v>
      </c>
      <c r="D520" s="54"/>
      <c r="E520" s="44">
        <v>16500</v>
      </c>
      <c r="F520" s="44">
        <v>16600</v>
      </c>
      <c r="G520" s="57">
        <v>230</v>
      </c>
      <c r="H520" s="57">
        <v>6.5</v>
      </c>
      <c r="I520" s="57">
        <v>6.12</v>
      </c>
      <c r="J520" s="32">
        <f t="array" ref="J52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44826</v>
      </c>
      <c r="K520" s="59">
        <f>IFERROR(Table13[[#This Row],[Bid Accepted]]*(Table13[[#This Row],[WAYR Current]]%/364*Table13[[#This Row],[Days To Maturity]]),0)</f>
        <v>14.950000000000001</v>
      </c>
      <c r="L520" s="41">
        <f>+Table13[[#This Row],[Bid Accepted]]-Table13[[#This Row],[Amount Offered]]</f>
        <v>-16270</v>
      </c>
      <c r="M520" s="57">
        <f>+IF(Table13[[#This Row],[WAYR Last]]&gt;0,IF(Table13[[#This Row],[WAYR Current]]&gt;0,(Table13[[#This Row],[WAYR Current]]-Table13[[#This Row],[WAYR Last]]),""),"")</f>
        <v>0.37999999999999989</v>
      </c>
      <c r="O520" s="77">
        <f>+Table13[[#This Row],[Bid Received]]/Table13[[#This Row],[Amount Offered]]</f>
        <v>1.0060606060606061</v>
      </c>
      <c r="P520" s="77">
        <f>+Table13[[#This Row],[Bid Accepted]]/Table13[[#This Row],[Amount Offered]]</f>
        <v>1.3939393939393939E-2</v>
      </c>
      <c r="Q520" s="77">
        <f>+Table13[[#This Row],[Bid Accepted]]/Table13[[#This Row],[Bid Received]]</f>
        <v>1.3855421686746987E-2</v>
      </c>
      <c r="AG520" s="78"/>
      <c r="AH520" s="13"/>
      <c r="AN520" s="78"/>
      <c r="AP520" s="77"/>
      <c r="AU520" s="78"/>
      <c r="AV520" s="64"/>
      <c r="AX520" s="78"/>
      <c r="AY520" s="13"/>
    </row>
    <row r="521" spans="1:51" x14ac:dyDescent="0.2">
      <c r="A521" s="34">
        <v>44468</v>
      </c>
      <c r="B521" s="35" t="s">
        <v>312</v>
      </c>
      <c r="C521" s="54">
        <v>91</v>
      </c>
      <c r="D521" s="54"/>
      <c r="E521" s="44">
        <v>12500</v>
      </c>
      <c r="F521" s="44">
        <v>33173</v>
      </c>
      <c r="G521" s="57">
        <v>27953</v>
      </c>
      <c r="H521" s="57">
        <v>6.7</v>
      </c>
      <c r="I521" s="57">
        <v>6.38</v>
      </c>
      <c r="J521" s="32">
        <f t="array" ref="J52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44559</v>
      </c>
      <c r="K521" s="59">
        <f>IFERROR(Table13[[#This Row],[Bid Accepted]]*(Table13[[#This Row],[WAYR Current]]%/364*Table13[[#This Row],[Days To Maturity]]),0)</f>
        <v>468.21275000000003</v>
      </c>
      <c r="L521" s="41">
        <f>+Table13[[#This Row],[Bid Accepted]]-Table13[[#This Row],[Amount Offered]]</f>
        <v>15453</v>
      </c>
      <c r="M521" s="57">
        <f>+IF(Table13[[#This Row],[WAYR Last]]&gt;0,IF(Table13[[#This Row],[WAYR Current]]&gt;0,(Table13[[#This Row],[WAYR Current]]-Table13[[#This Row],[WAYR Last]]),""),"")</f>
        <v>0.32000000000000028</v>
      </c>
      <c r="O521" s="77">
        <f>+Table13[[#This Row],[Bid Received]]/Table13[[#This Row],[Amount Offered]]</f>
        <v>2.6538400000000002</v>
      </c>
      <c r="P521" s="77">
        <f>+Table13[[#This Row],[Bid Accepted]]/Table13[[#This Row],[Amount Offered]]</f>
        <v>2.23624</v>
      </c>
      <c r="Q521" s="77">
        <f>+Table13[[#This Row],[Bid Accepted]]/Table13[[#This Row],[Bid Received]]</f>
        <v>0.84264311337533537</v>
      </c>
      <c r="AG521" s="78"/>
      <c r="AH521" s="13"/>
      <c r="AN521" s="78"/>
      <c r="AP521" s="77"/>
      <c r="AU521" s="78"/>
      <c r="AV521" s="64"/>
      <c r="AX521" s="78"/>
      <c r="AY521" s="13"/>
    </row>
    <row r="522" spans="1:51" x14ac:dyDescent="0.2">
      <c r="A522" s="34">
        <v>44468</v>
      </c>
      <c r="B522" s="35" t="s">
        <v>313</v>
      </c>
      <c r="C522" s="54">
        <v>182</v>
      </c>
      <c r="D522" s="54"/>
      <c r="E522" s="44">
        <v>19000</v>
      </c>
      <c r="F522" s="44">
        <v>19160</v>
      </c>
      <c r="G522" s="57">
        <v>520</v>
      </c>
      <c r="H522" s="57">
        <v>6.99</v>
      </c>
      <c r="I522" s="57">
        <v>6.27</v>
      </c>
      <c r="J522" s="32">
        <f t="array" ref="J52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44649</v>
      </c>
      <c r="K522" s="59">
        <f>IFERROR(Table13[[#This Row],[Bid Accepted]]*(Table13[[#This Row],[WAYR Current]]%/364*Table13[[#This Row],[Days To Maturity]]),0)</f>
        <v>18.173999999999999</v>
      </c>
      <c r="L522" s="41">
        <f>+Table13[[#This Row],[Bid Accepted]]-Table13[[#This Row],[Amount Offered]]</f>
        <v>-18480</v>
      </c>
      <c r="M522" s="57">
        <f>+IF(Table13[[#This Row],[WAYR Last]]&gt;0,IF(Table13[[#This Row],[WAYR Current]]&gt;0,(Table13[[#This Row],[WAYR Current]]-Table13[[#This Row],[WAYR Last]]),""),"")</f>
        <v>0.72000000000000064</v>
      </c>
      <c r="O522" s="77">
        <f>+Table13[[#This Row],[Bid Received]]/Table13[[#This Row],[Amount Offered]]</f>
        <v>1.0084210526315789</v>
      </c>
      <c r="P522" s="77">
        <f>+Table13[[#This Row],[Bid Accepted]]/Table13[[#This Row],[Amount Offered]]</f>
        <v>2.736842105263158E-2</v>
      </c>
      <c r="Q522" s="77">
        <f>+Table13[[#This Row],[Bid Accepted]]/Table13[[#This Row],[Bid Received]]</f>
        <v>2.7139874739039668E-2</v>
      </c>
      <c r="AG522" s="78"/>
      <c r="AH522" s="13"/>
      <c r="AN522" s="78"/>
      <c r="AP522" s="77"/>
      <c r="AU522" s="78"/>
      <c r="AV522" s="64"/>
      <c r="AX522" s="78"/>
      <c r="AY522" s="13"/>
    </row>
    <row r="523" spans="1:51" x14ac:dyDescent="0.2">
      <c r="A523" s="34">
        <v>44468</v>
      </c>
      <c r="B523" s="35" t="s">
        <v>314</v>
      </c>
      <c r="C523" s="54">
        <v>364</v>
      </c>
      <c r="D523" s="54"/>
      <c r="E523" s="44">
        <v>20000</v>
      </c>
      <c r="F523" s="44">
        <v>20101</v>
      </c>
      <c r="G523" s="57">
        <v>2706</v>
      </c>
      <c r="H523" s="57">
        <v>7.01</v>
      </c>
      <c r="I523" s="57">
        <v>6.5</v>
      </c>
      <c r="J523" s="32">
        <f t="array" ref="J52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44833</v>
      </c>
      <c r="K523" s="59">
        <f>IFERROR(Table13[[#This Row],[Bid Accepted]]*(Table13[[#This Row],[WAYR Current]]%/364*Table13[[#This Row],[Days To Maturity]]),0)</f>
        <v>189.69059999999999</v>
      </c>
      <c r="L523" s="41">
        <f>+Table13[[#This Row],[Bid Accepted]]-Table13[[#This Row],[Amount Offered]]</f>
        <v>-17294</v>
      </c>
      <c r="M523" s="57">
        <f>+IF(Table13[[#This Row],[WAYR Last]]&gt;0,IF(Table13[[#This Row],[WAYR Current]]&gt;0,(Table13[[#This Row],[WAYR Current]]-Table13[[#This Row],[WAYR Last]]),""),"")</f>
        <v>0.50999999999999979</v>
      </c>
      <c r="O523" s="77">
        <f>+Table13[[#This Row],[Bid Received]]/Table13[[#This Row],[Amount Offered]]</f>
        <v>1.00505</v>
      </c>
      <c r="P523" s="77">
        <f>+Table13[[#This Row],[Bid Accepted]]/Table13[[#This Row],[Amount Offered]]</f>
        <v>0.1353</v>
      </c>
      <c r="Q523" s="77">
        <f>+Table13[[#This Row],[Bid Accepted]]/Table13[[#This Row],[Bid Received]]</f>
        <v>0.13462016815083827</v>
      </c>
      <c r="AG523" s="78"/>
      <c r="AH523" s="13"/>
      <c r="AN523" s="78"/>
      <c r="AP523" s="77"/>
      <c r="AU523" s="78"/>
      <c r="AV523" s="64"/>
      <c r="AX523" s="78"/>
      <c r="AY523" s="13"/>
    </row>
    <row r="524" spans="1:51" x14ac:dyDescent="0.2">
      <c r="A524" s="34">
        <v>44475</v>
      </c>
      <c r="B524" s="35" t="s">
        <v>315</v>
      </c>
      <c r="C524" s="54">
        <v>91</v>
      </c>
      <c r="D524" s="54"/>
      <c r="E524" s="44">
        <v>14500</v>
      </c>
      <c r="F524" s="44">
        <v>53243</v>
      </c>
      <c r="G524" s="57">
        <v>47178</v>
      </c>
      <c r="H524" s="57">
        <v>7.15</v>
      </c>
      <c r="I524" s="57">
        <v>6.7</v>
      </c>
      <c r="J524" s="32">
        <f t="array" ref="J52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44567</v>
      </c>
      <c r="K524" s="59">
        <f>IFERROR(Table13[[#This Row],[Bid Accepted]]*(Table13[[#This Row],[WAYR Current]]%/364*Table13[[#This Row],[Days To Maturity]]),0)</f>
        <v>843.30675000000008</v>
      </c>
      <c r="L524" s="41">
        <f>+Table13[[#This Row],[Bid Accepted]]-Table13[[#This Row],[Amount Offered]]</f>
        <v>32678</v>
      </c>
      <c r="M524" s="57">
        <f>+IF(Table13[[#This Row],[WAYR Last]]&gt;0,IF(Table13[[#This Row],[WAYR Current]]&gt;0,(Table13[[#This Row],[WAYR Current]]-Table13[[#This Row],[WAYR Last]]),""),"")</f>
        <v>0.45000000000000018</v>
      </c>
      <c r="O524" s="77">
        <f>+Table13[[#This Row],[Bid Received]]/Table13[[#This Row],[Amount Offered]]</f>
        <v>3.6719310344827587</v>
      </c>
      <c r="P524" s="77">
        <f>+Table13[[#This Row],[Bid Accepted]]/Table13[[#This Row],[Amount Offered]]</f>
        <v>3.2536551724137932</v>
      </c>
      <c r="Q524" s="77">
        <f>+Table13[[#This Row],[Bid Accepted]]/Table13[[#This Row],[Bid Received]]</f>
        <v>0.88608831207858307</v>
      </c>
      <c r="AG524" s="78"/>
      <c r="AH524" s="13"/>
      <c r="AN524" s="78"/>
      <c r="AP524" s="77"/>
      <c r="AU524" s="78"/>
      <c r="AV524" s="64"/>
      <c r="AX524" s="78"/>
      <c r="AY524" s="13"/>
    </row>
    <row r="525" spans="1:51" x14ac:dyDescent="0.2">
      <c r="A525" s="34">
        <v>44475</v>
      </c>
      <c r="B525" s="35" t="s">
        <v>316</v>
      </c>
      <c r="C525" s="54">
        <v>182</v>
      </c>
      <c r="D525" s="54"/>
      <c r="E525" s="44">
        <v>20000</v>
      </c>
      <c r="F525" s="44">
        <v>20022</v>
      </c>
      <c r="G525" s="57">
        <v>100</v>
      </c>
      <c r="H525" s="57">
        <v>7.2</v>
      </c>
      <c r="I525" s="57">
        <v>6.99</v>
      </c>
      <c r="J525" s="32">
        <f t="array" ref="J52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44657</v>
      </c>
      <c r="K525" s="59">
        <f>IFERROR(Table13[[#This Row],[Bid Accepted]]*(Table13[[#This Row],[WAYR Current]]%/364*Table13[[#This Row],[Days To Maturity]]),0)</f>
        <v>3.6000000000000005</v>
      </c>
      <c r="L525" s="41">
        <f>+Table13[[#This Row],[Bid Accepted]]-Table13[[#This Row],[Amount Offered]]</f>
        <v>-19900</v>
      </c>
      <c r="M525" s="57">
        <f>+IF(Table13[[#This Row],[WAYR Last]]&gt;0,IF(Table13[[#This Row],[WAYR Current]]&gt;0,(Table13[[#This Row],[WAYR Current]]-Table13[[#This Row],[WAYR Last]]),""),"")</f>
        <v>0.20999999999999996</v>
      </c>
      <c r="O525" s="77">
        <f>+Table13[[#This Row],[Bid Received]]/Table13[[#This Row],[Amount Offered]]</f>
        <v>1.0011000000000001</v>
      </c>
      <c r="P525" s="77">
        <f>+Table13[[#This Row],[Bid Accepted]]/Table13[[#This Row],[Amount Offered]]</f>
        <v>5.0000000000000001E-3</v>
      </c>
      <c r="Q525" s="77">
        <f>+Table13[[#This Row],[Bid Accepted]]/Table13[[#This Row],[Bid Received]]</f>
        <v>4.9945060433523123E-3</v>
      </c>
      <c r="AG525" s="78"/>
      <c r="AH525" s="13"/>
      <c r="AN525" s="78"/>
      <c r="AP525" s="77"/>
      <c r="AU525" s="78"/>
      <c r="AV525" s="64"/>
      <c r="AX525" s="78"/>
      <c r="AY525" s="13"/>
    </row>
    <row r="526" spans="1:51" x14ac:dyDescent="0.2">
      <c r="A526" s="34">
        <v>44475</v>
      </c>
      <c r="B526" s="35" t="s">
        <v>317</v>
      </c>
      <c r="C526" s="54">
        <v>364</v>
      </c>
      <c r="D526" s="54"/>
      <c r="E526" s="44">
        <v>31200</v>
      </c>
      <c r="F526" s="44">
        <v>31800</v>
      </c>
      <c r="G526" s="57">
        <v>160</v>
      </c>
      <c r="H526" s="57">
        <v>7.28</v>
      </c>
      <c r="I526" s="57">
        <v>7.01</v>
      </c>
      <c r="J526" s="32">
        <f t="array" ref="J52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44840</v>
      </c>
      <c r="K526" s="59">
        <f>IFERROR(Table13[[#This Row],[Bid Accepted]]*(Table13[[#This Row],[WAYR Current]]%/364*Table13[[#This Row],[Days To Maturity]]),0)</f>
        <v>11.648</v>
      </c>
      <c r="L526" s="41">
        <f>+Table13[[#This Row],[Bid Accepted]]-Table13[[#This Row],[Amount Offered]]</f>
        <v>-31040</v>
      </c>
      <c r="M526" s="57">
        <f>+IF(Table13[[#This Row],[WAYR Last]]&gt;0,IF(Table13[[#This Row],[WAYR Current]]&gt;0,(Table13[[#This Row],[WAYR Current]]-Table13[[#This Row],[WAYR Last]]),""),"")</f>
        <v>0.27000000000000046</v>
      </c>
      <c r="O526" s="77">
        <f>+Table13[[#This Row],[Bid Received]]/Table13[[#This Row],[Amount Offered]]</f>
        <v>1.0192307692307692</v>
      </c>
      <c r="P526" s="77">
        <f>+Table13[[#This Row],[Bid Accepted]]/Table13[[#This Row],[Amount Offered]]</f>
        <v>5.1282051282051282E-3</v>
      </c>
      <c r="Q526" s="77">
        <f>+Table13[[#This Row],[Bid Accepted]]/Table13[[#This Row],[Bid Received]]</f>
        <v>5.0314465408805029E-3</v>
      </c>
      <c r="AG526" s="78"/>
      <c r="AH526" s="13"/>
      <c r="AN526" s="78"/>
      <c r="AP526" s="77"/>
      <c r="AU526" s="78"/>
      <c r="AV526" s="64"/>
      <c r="AX526" s="78"/>
      <c r="AY526" s="13"/>
    </row>
    <row r="527" spans="1:51" x14ac:dyDescent="0.2">
      <c r="A527" s="34">
        <v>44482</v>
      </c>
      <c r="B527" s="35" t="s">
        <v>318</v>
      </c>
      <c r="C527" s="54">
        <v>91</v>
      </c>
      <c r="D527" s="54"/>
      <c r="E527" s="44">
        <v>30000</v>
      </c>
      <c r="F527" s="44">
        <v>83373</v>
      </c>
      <c r="G527" s="57">
        <v>50416</v>
      </c>
      <c r="H527" s="57">
        <v>8.0399999999999991</v>
      </c>
      <c r="I527" s="57">
        <v>7.15</v>
      </c>
      <c r="J527" s="32">
        <f t="array" ref="J52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44574</v>
      </c>
      <c r="K527" s="59">
        <f>IFERROR(Table13[[#This Row],[Bid Accepted]]*(Table13[[#This Row],[WAYR Current]]%/364*Table13[[#This Row],[Days To Maturity]]),0)</f>
        <v>1013.3615999999998</v>
      </c>
      <c r="L527" s="41">
        <f>+Table13[[#This Row],[Bid Accepted]]-Table13[[#This Row],[Amount Offered]]</f>
        <v>20416</v>
      </c>
      <c r="M527" s="57">
        <f>+IF(Table13[[#This Row],[WAYR Last]]&gt;0,IF(Table13[[#This Row],[WAYR Current]]&gt;0,(Table13[[#This Row],[WAYR Current]]-Table13[[#This Row],[WAYR Last]]),""),"")</f>
        <v>0.88999999999999879</v>
      </c>
      <c r="O527" s="77">
        <f>+Table13[[#This Row],[Bid Received]]/Table13[[#This Row],[Amount Offered]]</f>
        <v>2.7791000000000001</v>
      </c>
      <c r="P527" s="77">
        <f>+Table13[[#This Row],[Bid Accepted]]/Table13[[#This Row],[Amount Offered]]</f>
        <v>1.6805333333333334</v>
      </c>
      <c r="Q527" s="77">
        <f>+Table13[[#This Row],[Bid Accepted]]/Table13[[#This Row],[Bid Received]]</f>
        <v>0.60470416081944989</v>
      </c>
      <c r="AG527" s="78"/>
      <c r="AH527" s="13"/>
      <c r="AN527" s="78"/>
      <c r="AP527" s="77"/>
      <c r="AU527" s="78"/>
      <c r="AV527" s="64"/>
      <c r="AX527" s="78"/>
      <c r="AY527" s="13"/>
    </row>
    <row r="528" spans="1:51" x14ac:dyDescent="0.2">
      <c r="A528" s="34">
        <v>44482</v>
      </c>
      <c r="B528" s="35" t="s">
        <v>319</v>
      </c>
      <c r="C528" s="54">
        <v>182</v>
      </c>
      <c r="D528" s="54"/>
      <c r="E528" s="44">
        <v>25000</v>
      </c>
      <c r="F528" s="44">
        <v>25377</v>
      </c>
      <c r="G528" s="57">
        <v>0</v>
      </c>
      <c r="H528" s="57">
        <v>0</v>
      </c>
      <c r="I528" s="57">
        <v>7.2</v>
      </c>
      <c r="J528" s="32">
        <f t="array" ref="J52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44664</v>
      </c>
      <c r="K528" s="59">
        <f>IFERROR(Table13[[#This Row],[Bid Accepted]]*(Table13[[#This Row],[WAYR Current]]%/364*Table13[[#This Row],[Days To Maturity]]),0)</f>
        <v>0</v>
      </c>
      <c r="L528" s="41">
        <f>+Table13[[#This Row],[Bid Accepted]]-Table13[[#This Row],[Amount Offered]]</f>
        <v>-25000</v>
      </c>
      <c r="M528" s="57" t="str">
        <f>+IF(Table13[[#This Row],[WAYR Last]]&gt;0,IF(Table13[[#This Row],[WAYR Current]]&gt;0,(Table13[[#This Row],[WAYR Current]]-Table13[[#This Row],[WAYR Last]]),""),"")</f>
        <v/>
      </c>
      <c r="O528" s="77">
        <f>+Table13[[#This Row],[Bid Received]]/Table13[[#This Row],[Amount Offered]]</f>
        <v>1.01508</v>
      </c>
      <c r="P528" s="77">
        <f>+Table13[[#This Row],[Bid Accepted]]/Table13[[#This Row],[Amount Offered]]</f>
        <v>0</v>
      </c>
      <c r="Q528" s="77">
        <f>+Table13[[#This Row],[Bid Accepted]]/Table13[[#This Row],[Bid Received]]</f>
        <v>0</v>
      </c>
      <c r="AG528" s="78"/>
      <c r="AH528" s="13"/>
      <c r="AN528" s="78"/>
      <c r="AP528" s="77"/>
      <c r="AU528" s="78"/>
      <c r="AV528" s="64"/>
      <c r="AX528" s="78"/>
      <c r="AY528" s="13"/>
    </row>
    <row r="529" spans="1:51" x14ac:dyDescent="0.2">
      <c r="A529" s="34">
        <v>44482</v>
      </c>
      <c r="B529" s="35" t="s">
        <v>320</v>
      </c>
      <c r="C529" s="54">
        <v>364</v>
      </c>
      <c r="D529" s="54"/>
      <c r="E529" s="44">
        <v>30000</v>
      </c>
      <c r="F529" s="44">
        <v>30335</v>
      </c>
      <c r="G529" s="57">
        <v>0</v>
      </c>
      <c r="H529" s="57">
        <v>0</v>
      </c>
      <c r="I529" s="57">
        <v>7.28</v>
      </c>
      <c r="J529" s="32">
        <f t="array" ref="J52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44847</v>
      </c>
      <c r="K529" s="59">
        <f>IFERROR(Table13[[#This Row],[Bid Accepted]]*(Table13[[#This Row],[WAYR Current]]%/364*Table13[[#This Row],[Days To Maturity]]),0)</f>
        <v>0</v>
      </c>
      <c r="L529" s="41">
        <f>+Table13[[#This Row],[Bid Accepted]]-Table13[[#This Row],[Amount Offered]]</f>
        <v>-30000</v>
      </c>
      <c r="M529" s="57" t="str">
        <f>+IF(Table13[[#This Row],[WAYR Last]]&gt;0,IF(Table13[[#This Row],[WAYR Current]]&gt;0,(Table13[[#This Row],[WAYR Current]]-Table13[[#This Row],[WAYR Last]]),""),"")</f>
        <v/>
      </c>
      <c r="O529" s="77">
        <f>+Table13[[#This Row],[Bid Received]]/Table13[[#This Row],[Amount Offered]]</f>
        <v>1.0111666666666668</v>
      </c>
      <c r="P529" s="77">
        <f>+Table13[[#This Row],[Bid Accepted]]/Table13[[#This Row],[Amount Offered]]</f>
        <v>0</v>
      </c>
      <c r="Q529" s="77">
        <f>+Table13[[#This Row],[Bid Accepted]]/Table13[[#This Row],[Bid Received]]</f>
        <v>0</v>
      </c>
      <c r="AG529" s="78"/>
      <c r="AH529" s="13"/>
      <c r="AN529" s="78"/>
      <c r="AP529" s="77"/>
      <c r="AU529" s="78"/>
      <c r="AV529" s="64"/>
      <c r="AX529" s="78"/>
      <c r="AY529" s="13"/>
    </row>
    <row r="530" spans="1:51" x14ac:dyDescent="0.2">
      <c r="A530" s="34">
        <v>44487</v>
      </c>
      <c r="B530" s="35" t="s">
        <v>321</v>
      </c>
      <c r="C530" s="54">
        <v>91</v>
      </c>
      <c r="D530" s="54"/>
      <c r="E530" s="44">
        <v>20000</v>
      </c>
      <c r="F530" s="44">
        <v>158528</v>
      </c>
      <c r="G530" s="58">
        <v>74250</v>
      </c>
      <c r="H530" s="57">
        <v>8.39</v>
      </c>
      <c r="I530" s="57">
        <v>8.0399999999999991</v>
      </c>
      <c r="J530" s="32">
        <f t="array" ref="J53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44579</v>
      </c>
      <c r="K530" s="59">
        <f>IFERROR(Table13[[#This Row],[Bid Accepted]]*(Table13[[#This Row],[WAYR Current]]%/364*Table13[[#This Row],[Days To Maturity]]),0)</f>
        <v>1557.39375</v>
      </c>
      <c r="L530" s="41">
        <f>+Table13[[#This Row],[Bid Accepted]]-Table13[[#This Row],[Amount Offered]]</f>
        <v>54250</v>
      </c>
      <c r="M530" s="57">
        <f>+IF(Table13[[#This Row],[WAYR Last]]&gt;0,IF(Table13[[#This Row],[WAYR Current]]&gt;0,(Table13[[#This Row],[WAYR Current]]-Table13[[#This Row],[WAYR Last]]),""),"")</f>
        <v>0.35000000000000142</v>
      </c>
      <c r="O530" s="77">
        <f>+Table13[[#This Row],[Bid Received]]/Table13[[#This Row],[Amount Offered]]</f>
        <v>7.9264000000000001</v>
      </c>
      <c r="P530" s="77">
        <f>+Table13[[#This Row],[Bid Accepted]]/Table13[[#This Row],[Amount Offered]]</f>
        <v>3.7124999999999999</v>
      </c>
      <c r="Q530" s="77">
        <f>+Table13[[#This Row],[Bid Accepted]]/Table13[[#This Row],[Bid Received]]</f>
        <v>0.46837151796528059</v>
      </c>
      <c r="AG530" s="78"/>
      <c r="AH530" s="13"/>
      <c r="AN530" s="78"/>
      <c r="AP530" s="77"/>
      <c r="AU530" s="78"/>
      <c r="AV530" s="64"/>
      <c r="AX530" s="78"/>
      <c r="AY530" s="13"/>
    </row>
    <row r="531" spans="1:51" x14ac:dyDescent="0.2">
      <c r="A531" s="34">
        <v>44487</v>
      </c>
      <c r="B531" s="35" t="s">
        <v>322</v>
      </c>
      <c r="C531" s="54">
        <v>182</v>
      </c>
      <c r="D531" s="54"/>
      <c r="E531" s="44">
        <v>22000</v>
      </c>
      <c r="F531" s="44">
        <v>23805</v>
      </c>
      <c r="G531" s="56">
        <v>200</v>
      </c>
      <c r="H531" s="57">
        <v>8.16</v>
      </c>
      <c r="I531" s="57">
        <v>7.2</v>
      </c>
      <c r="J531" s="32">
        <f t="array" ref="J53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44669</v>
      </c>
      <c r="K531" s="59">
        <f>IFERROR(Table13[[#This Row],[Bid Accepted]]*(Table13[[#This Row],[WAYR Current]]%/364*Table13[[#This Row],[Days To Maturity]]),0)</f>
        <v>8.16</v>
      </c>
      <c r="L531" s="41">
        <f>+Table13[[#This Row],[Bid Accepted]]-Table13[[#This Row],[Amount Offered]]</f>
        <v>-21800</v>
      </c>
      <c r="M531" s="57">
        <f>+IF(Table13[[#This Row],[WAYR Last]]&gt;0,IF(Table13[[#This Row],[WAYR Current]]&gt;0,(Table13[[#This Row],[WAYR Current]]-Table13[[#This Row],[WAYR Last]]),""),"")</f>
        <v>0.96</v>
      </c>
      <c r="O531" s="77">
        <f>+Table13[[#This Row],[Bid Received]]/Table13[[#This Row],[Amount Offered]]</f>
        <v>1.0820454545454545</v>
      </c>
      <c r="P531" s="77">
        <f>+Table13[[#This Row],[Bid Accepted]]/Table13[[#This Row],[Amount Offered]]</f>
        <v>9.0909090909090905E-3</v>
      </c>
      <c r="Q531" s="77">
        <f>+Table13[[#This Row],[Bid Accepted]]/Table13[[#This Row],[Bid Received]]</f>
        <v>8.4015963032976274E-3</v>
      </c>
      <c r="AG531" s="78"/>
      <c r="AH531" s="13"/>
      <c r="AN531" s="78"/>
      <c r="AP531" s="77"/>
      <c r="AU531" s="78"/>
      <c r="AV531" s="64"/>
      <c r="AX531" s="78"/>
      <c r="AY531" s="13"/>
    </row>
    <row r="532" spans="1:51" x14ac:dyDescent="0.2">
      <c r="A532" s="34">
        <v>44487</v>
      </c>
      <c r="B532" s="35" t="s">
        <v>323</v>
      </c>
      <c r="C532" s="54">
        <v>364</v>
      </c>
      <c r="D532" s="54"/>
      <c r="E532" s="44">
        <v>32500</v>
      </c>
      <c r="F532" s="44">
        <v>32850</v>
      </c>
      <c r="G532" s="56">
        <v>50</v>
      </c>
      <c r="H532" s="57">
        <v>8.17</v>
      </c>
      <c r="I532" s="57">
        <v>7.28</v>
      </c>
      <c r="J532" s="32">
        <f t="array" ref="J53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44852</v>
      </c>
      <c r="K532" s="59">
        <f>IFERROR(Table13[[#This Row],[Bid Accepted]]*(Table13[[#This Row],[WAYR Current]]%/364*Table13[[#This Row],[Days To Maturity]]),0)</f>
        <v>4.085</v>
      </c>
      <c r="L532" s="41">
        <f>+Table13[[#This Row],[Bid Accepted]]-Table13[[#This Row],[Amount Offered]]</f>
        <v>-32450</v>
      </c>
      <c r="M532" s="57">
        <f>+IF(Table13[[#This Row],[WAYR Last]]&gt;0,IF(Table13[[#This Row],[WAYR Current]]&gt;0,(Table13[[#This Row],[WAYR Current]]-Table13[[#This Row],[WAYR Last]]),""),"")</f>
        <v>0.88999999999999968</v>
      </c>
      <c r="O532" s="77">
        <f>+Table13[[#This Row],[Bid Received]]/Table13[[#This Row],[Amount Offered]]</f>
        <v>1.0107692307692309</v>
      </c>
      <c r="P532" s="77">
        <f>+Table13[[#This Row],[Bid Accepted]]/Table13[[#This Row],[Amount Offered]]</f>
        <v>1.5384615384615385E-3</v>
      </c>
      <c r="Q532" s="77">
        <f>+Table13[[#This Row],[Bid Accepted]]/Table13[[#This Row],[Bid Received]]</f>
        <v>1.5220700152207001E-3</v>
      </c>
      <c r="AG532" s="78"/>
      <c r="AH532" s="13"/>
      <c r="AN532" s="78"/>
      <c r="AP532" s="77"/>
      <c r="AU532" s="78"/>
      <c r="AV532" s="64"/>
      <c r="AX532" s="78"/>
      <c r="AY532" s="13"/>
    </row>
    <row r="533" spans="1:51" x14ac:dyDescent="0.2">
      <c r="A533" s="34">
        <v>44496</v>
      </c>
      <c r="B533" s="35" t="s">
        <v>324</v>
      </c>
      <c r="C533" s="54">
        <v>91</v>
      </c>
      <c r="D533" s="54"/>
      <c r="E533" s="44">
        <v>15000</v>
      </c>
      <c r="F533" s="44">
        <v>169136</v>
      </c>
      <c r="G533" s="56">
        <v>56447</v>
      </c>
      <c r="H533" s="57">
        <v>8.43</v>
      </c>
      <c r="I533" s="57">
        <v>8.39</v>
      </c>
      <c r="J533" s="32">
        <f t="array" ref="J53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44588</v>
      </c>
      <c r="K533" s="59">
        <f>IFERROR(Table13[[#This Row],[Bid Accepted]]*(Table13[[#This Row],[WAYR Current]]%/364*Table13[[#This Row],[Days To Maturity]]),0)</f>
        <v>1189.620525</v>
      </c>
      <c r="L533" s="41">
        <f>+Table13[[#This Row],[Bid Accepted]]-Table13[[#This Row],[Amount Offered]]</f>
        <v>41447</v>
      </c>
      <c r="M533" s="57">
        <f>+IF(Table13[[#This Row],[WAYR Last]]&gt;0,IF(Table13[[#This Row],[WAYR Current]]&gt;0,(Table13[[#This Row],[WAYR Current]]-Table13[[#This Row],[WAYR Last]]),""),"")</f>
        <v>3.9999999999999147E-2</v>
      </c>
      <c r="O533" s="77">
        <f>+Table13[[#This Row],[Bid Received]]/Table13[[#This Row],[Amount Offered]]</f>
        <v>11.275733333333333</v>
      </c>
      <c r="P533" s="77">
        <f>+Table13[[#This Row],[Bid Accepted]]/Table13[[#This Row],[Amount Offered]]</f>
        <v>3.7631333333333332</v>
      </c>
      <c r="Q533" s="77">
        <f>+Table13[[#This Row],[Bid Accepted]]/Table13[[#This Row],[Bid Received]]</f>
        <v>0.33373734746003214</v>
      </c>
      <c r="AG533" s="78"/>
      <c r="AH533" s="13"/>
      <c r="AN533" s="78"/>
      <c r="AP533" s="77"/>
      <c r="AU533" s="78"/>
      <c r="AV533" s="64"/>
      <c r="AX533" s="78"/>
      <c r="AY533" s="13"/>
    </row>
    <row r="534" spans="1:51" x14ac:dyDescent="0.2">
      <c r="A534" s="34">
        <v>44496</v>
      </c>
      <c r="B534" s="35" t="s">
        <v>325</v>
      </c>
      <c r="C534" s="54">
        <v>182</v>
      </c>
      <c r="D534" s="54"/>
      <c r="E534" s="44">
        <v>17500</v>
      </c>
      <c r="F534" s="44">
        <v>20550</v>
      </c>
      <c r="G534" s="56">
        <v>0</v>
      </c>
      <c r="H534" s="57">
        <v>0</v>
      </c>
      <c r="I534" s="57">
        <v>8.16</v>
      </c>
      <c r="J534" s="32">
        <f t="array" ref="J53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44678</v>
      </c>
      <c r="K534" s="59">
        <f>IFERROR(Table13[[#This Row],[Bid Accepted]]*(Table13[[#This Row],[WAYR Current]]%/364*Table13[[#This Row],[Days To Maturity]]),0)</f>
        <v>0</v>
      </c>
      <c r="L534" s="41">
        <f>+Table13[[#This Row],[Bid Accepted]]-Table13[[#This Row],[Amount Offered]]</f>
        <v>-17500</v>
      </c>
      <c r="M534" s="57" t="str">
        <f>+IF(Table13[[#This Row],[WAYR Last]]&gt;0,IF(Table13[[#This Row],[WAYR Current]]&gt;0,(Table13[[#This Row],[WAYR Current]]-Table13[[#This Row],[WAYR Last]]),""),"")</f>
        <v/>
      </c>
      <c r="O534" s="77">
        <f>+Table13[[#This Row],[Bid Received]]/Table13[[#This Row],[Amount Offered]]</f>
        <v>1.1742857142857144</v>
      </c>
      <c r="P534" s="77">
        <f>+Table13[[#This Row],[Bid Accepted]]/Table13[[#This Row],[Amount Offered]]</f>
        <v>0</v>
      </c>
      <c r="Q534" s="77">
        <f>+Table13[[#This Row],[Bid Accepted]]/Table13[[#This Row],[Bid Received]]</f>
        <v>0</v>
      </c>
      <c r="AG534" s="78"/>
      <c r="AH534" s="13"/>
      <c r="AN534" s="78"/>
      <c r="AP534" s="77"/>
      <c r="AU534" s="78"/>
      <c r="AV534" s="64"/>
      <c r="AX534" s="78"/>
      <c r="AY534" s="13"/>
    </row>
    <row r="535" spans="1:51" x14ac:dyDescent="0.2">
      <c r="A535" s="34">
        <v>44496</v>
      </c>
      <c r="B535" s="35" t="s">
        <v>326</v>
      </c>
      <c r="C535" s="54">
        <v>364</v>
      </c>
      <c r="D535" s="54"/>
      <c r="E535" s="44">
        <v>24000</v>
      </c>
      <c r="F535" s="44">
        <v>25600</v>
      </c>
      <c r="G535" s="56">
        <v>53</v>
      </c>
      <c r="H535" s="57">
        <v>8.18</v>
      </c>
      <c r="I535" s="57">
        <v>8.17</v>
      </c>
      <c r="J535" s="32">
        <f t="array" ref="J53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44861</v>
      </c>
      <c r="K535" s="59">
        <f>IFERROR(Table13[[#This Row],[Bid Accepted]]*(Table13[[#This Row],[WAYR Current]]%/364*Table13[[#This Row],[Days To Maturity]]),0)</f>
        <v>4.3353999999999999</v>
      </c>
      <c r="L535" s="41">
        <f>+Table13[[#This Row],[Bid Accepted]]-Table13[[#This Row],[Amount Offered]]</f>
        <v>-23947</v>
      </c>
      <c r="M535" s="57">
        <f>+IF(Table13[[#This Row],[WAYR Last]]&gt;0,IF(Table13[[#This Row],[WAYR Current]]&gt;0,(Table13[[#This Row],[WAYR Current]]-Table13[[#This Row],[WAYR Last]]),""),"")</f>
        <v>9.9999999999997868E-3</v>
      </c>
      <c r="O535" s="77">
        <f>+Table13[[#This Row],[Bid Received]]/Table13[[#This Row],[Amount Offered]]</f>
        <v>1.0666666666666667</v>
      </c>
      <c r="P535" s="77">
        <f>+Table13[[#This Row],[Bid Accepted]]/Table13[[#This Row],[Amount Offered]]</f>
        <v>2.2083333333333334E-3</v>
      </c>
      <c r="Q535" s="77">
        <f>+Table13[[#This Row],[Bid Accepted]]/Table13[[#This Row],[Bid Received]]</f>
        <v>2.0703125000000001E-3</v>
      </c>
      <c r="AG535" s="78"/>
      <c r="AH535" s="13"/>
      <c r="AN535" s="78"/>
      <c r="AP535" s="77"/>
      <c r="AU535" s="78"/>
      <c r="AV535" s="64"/>
      <c r="AX535" s="78"/>
      <c r="AY535" s="13"/>
    </row>
    <row r="536" spans="1:51" x14ac:dyDescent="0.2">
      <c r="A536" s="34">
        <v>44502</v>
      </c>
      <c r="B536" s="35" t="s">
        <v>327</v>
      </c>
      <c r="C536" s="54">
        <v>91</v>
      </c>
      <c r="D536" s="54"/>
      <c r="E536" s="44">
        <v>15000</v>
      </c>
      <c r="F536" s="44">
        <v>180066</v>
      </c>
      <c r="G536" s="56">
        <v>64043</v>
      </c>
      <c r="H536" s="57">
        <v>8.18</v>
      </c>
      <c r="I536" s="57">
        <v>8.43</v>
      </c>
      <c r="J536" s="32">
        <f t="array" ref="J53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44594</v>
      </c>
      <c r="K536" s="59">
        <f>IFERROR(Table13[[#This Row],[Bid Accepted]]*(Table13[[#This Row],[WAYR Current]]%/364*Table13[[#This Row],[Days To Maturity]]),0)</f>
        <v>1309.6793499999999</v>
      </c>
      <c r="L536" s="41">
        <f>+Table13[[#This Row],[Bid Accepted]]-Table13[[#This Row],[Amount Offered]]</f>
        <v>49043</v>
      </c>
      <c r="M536" s="57">
        <f>+IF(Table13[[#This Row],[WAYR Last]]&gt;0,IF(Table13[[#This Row],[WAYR Current]]&gt;0,(Table13[[#This Row],[WAYR Current]]-Table13[[#This Row],[WAYR Last]]),""),"")</f>
        <v>-0.25</v>
      </c>
      <c r="O536" s="77">
        <f>+Table13[[#This Row],[Bid Received]]/Table13[[#This Row],[Amount Offered]]</f>
        <v>12.0044</v>
      </c>
      <c r="P536" s="77">
        <f>+Table13[[#This Row],[Bid Accepted]]/Table13[[#This Row],[Amount Offered]]</f>
        <v>4.2695333333333334</v>
      </c>
      <c r="Q536" s="77">
        <f>+Table13[[#This Row],[Bid Accepted]]/Table13[[#This Row],[Bid Received]]</f>
        <v>0.35566403429853499</v>
      </c>
      <c r="AG536" s="78"/>
      <c r="AH536" s="13"/>
      <c r="AN536" s="78"/>
      <c r="AP536" s="77"/>
      <c r="AU536" s="78"/>
      <c r="AV536" s="64"/>
      <c r="AX536" s="78"/>
      <c r="AY536" s="13"/>
    </row>
    <row r="537" spans="1:51" x14ac:dyDescent="0.2">
      <c r="A537" s="34">
        <v>44502</v>
      </c>
      <c r="B537" s="35" t="s">
        <v>328</v>
      </c>
      <c r="C537" s="54">
        <v>182</v>
      </c>
      <c r="D537" s="54"/>
      <c r="E537" s="44">
        <v>20000</v>
      </c>
      <c r="F537" s="44">
        <v>23996</v>
      </c>
      <c r="G537" s="56">
        <v>1671</v>
      </c>
      <c r="H537" s="57">
        <v>8.2100000000000009</v>
      </c>
      <c r="I537" s="57">
        <v>8.16</v>
      </c>
      <c r="J537" s="32">
        <f t="array" ref="J53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44683</v>
      </c>
      <c r="K537" s="59">
        <f>IFERROR(Table13[[#This Row],[Bid Accepted]]*(Table13[[#This Row],[WAYR Current]]%/364*Table13[[#This Row],[Days To Maturity]]),0)</f>
        <v>68.594550000000012</v>
      </c>
      <c r="L537" s="41">
        <f>+Table13[[#This Row],[Bid Accepted]]-Table13[[#This Row],[Amount Offered]]</f>
        <v>-18329</v>
      </c>
      <c r="M537" s="57">
        <f>+IF(Table13[[#This Row],[WAYR Last]]&gt;0,IF(Table13[[#This Row],[WAYR Current]]&gt;0,(Table13[[#This Row],[WAYR Current]]-Table13[[#This Row],[WAYR Last]]),""),"")</f>
        <v>5.0000000000000711E-2</v>
      </c>
      <c r="O537" s="77">
        <f>+Table13[[#This Row],[Bid Received]]/Table13[[#This Row],[Amount Offered]]</f>
        <v>1.1998</v>
      </c>
      <c r="P537" s="77">
        <f>+Table13[[#This Row],[Bid Accepted]]/Table13[[#This Row],[Amount Offered]]</f>
        <v>8.3549999999999999E-2</v>
      </c>
      <c r="Q537" s="77">
        <f>+Table13[[#This Row],[Bid Accepted]]/Table13[[#This Row],[Bid Received]]</f>
        <v>6.9636606101016837E-2</v>
      </c>
      <c r="AG537" s="78"/>
      <c r="AH537" s="13"/>
      <c r="AN537" s="78"/>
      <c r="AP537" s="77"/>
      <c r="AU537" s="78"/>
      <c r="AV537" s="64"/>
      <c r="AX537" s="78"/>
      <c r="AY537" s="13"/>
    </row>
    <row r="538" spans="1:51" x14ac:dyDescent="0.2">
      <c r="A538" s="34">
        <v>44502</v>
      </c>
      <c r="B538" s="35" t="s">
        <v>329</v>
      </c>
      <c r="C538" s="54">
        <v>364</v>
      </c>
      <c r="D538" s="54"/>
      <c r="E538" s="44">
        <v>31000</v>
      </c>
      <c r="F538" s="44">
        <v>31261</v>
      </c>
      <c r="G538" s="56">
        <v>286</v>
      </c>
      <c r="H538" s="57">
        <v>8.26</v>
      </c>
      <c r="I538" s="57">
        <v>8.18</v>
      </c>
      <c r="J538" s="32">
        <f t="array" ref="J53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44867</v>
      </c>
      <c r="K538" s="59">
        <f>IFERROR(Table13[[#This Row],[Bid Accepted]]*(Table13[[#This Row],[WAYR Current]]%/364*Table13[[#This Row],[Days To Maturity]]),0)</f>
        <v>23.6236</v>
      </c>
      <c r="L538" s="41">
        <f>+Table13[[#This Row],[Bid Accepted]]-Table13[[#This Row],[Amount Offered]]</f>
        <v>-30714</v>
      </c>
      <c r="M538" s="57">
        <f>+IF(Table13[[#This Row],[WAYR Last]]&gt;0,IF(Table13[[#This Row],[WAYR Current]]&gt;0,(Table13[[#This Row],[WAYR Current]]-Table13[[#This Row],[WAYR Last]]),""),"")</f>
        <v>8.0000000000000071E-2</v>
      </c>
      <c r="O538" s="77">
        <f>+Table13[[#This Row],[Bid Received]]/Table13[[#This Row],[Amount Offered]]</f>
        <v>1.0084193548387097</v>
      </c>
      <c r="P538" s="77">
        <f>+Table13[[#This Row],[Bid Accepted]]/Table13[[#This Row],[Amount Offered]]</f>
        <v>9.2258064516129029E-3</v>
      </c>
      <c r="Q538" s="77">
        <f>+Table13[[#This Row],[Bid Accepted]]/Table13[[#This Row],[Bid Received]]</f>
        <v>9.1487796295703916E-3</v>
      </c>
      <c r="AG538" s="78"/>
      <c r="AH538" s="13"/>
      <c r="AN538" s="78"/>
      <c r="AP538" s="77"/>
      <c r="AU538" s="78"/>
      <c r="AV538" s="64"/>
      <c r="AX538" s="78"/>
      <c r="AY538" s="13"/>
    </row>
    <row r="539" spans="1:51" x14ac:dyDescent="0.2">
      <c r="A539" s="34">
        <v>44510</v>
      </c>
      <c r="B539" s="35" t="s">
        <v>330</v>
      </c>
      <c r="C539" s="54">
        <v>91</v>
      </c>
      <c r="D539" s="54"/>
      <c r="E539" s="44">
        <v>20000</v>
      </c>
      <c r="F539" s="44">
        <v>163333</v>
      </c>
      <c r="G539" s="56">
        <v>51481</v>
      </c>
      <c r="H539" s="57">
        <v>7.98</v>
      </c>
      <c r="I539" s="57">
        <v>8.18</v>
      </c>
      <c r="J539" s="32">
        <f t="array" ref="J53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44602</v>
      </c>
      <c r="K539" s="59">
        <f>IFERROR(Table13[[#This Row],[Bid Accepted]]*(Table13[[#This Row],[WAYR Current]]%/364*Table13[[#This Row],[Days To Maturity]]),0)</f>
        <v>1027.0459500000002</v>
      </c>
      <c r="L539" s="41">
        <f>+Table13[[#This Row],[Bid Accepted]]-Table13[[#This Row],[Amount Offered]]</f>
        <v>31481</v>
      </c>
      <c r="M539" s="57">
        <f>+IF(Table13[[#This Row],[WAYR Last]]&gt;0,IF(Table13[[#This Row],[WAYR Current]]&gt;0,(Table13[[#This Row],[WAYR Current]]-Table13[[#This Row],[WAYR Last]]),""),"")</f>
        <v>-0.19999999999999929</v>
      </c>
      <c r="O539" s="77">
        <f>+Table13[[#This Row],[Bid Received]]/Table13[[#This Row],[Amount Offered]]</f>
        <v>8.1666500000000006</v>
      </c>
      <c r="P539" s="77">
        <f>+Table13[[#This Row],[Bid Accepted]]/Table13[[#This Row],[Amount Offered]]</f>
        <v>2.5740500000000002</v>
      </c>
      <c r="Q539" s="77">
        <f>+Table13[[#This Row],[Bid Accepted]]/Table13[[#This Row],[Bid Received]]</f>
        <v>0.31519043916416156</v>
      </c>
      <c r="AG539" s="78"/>
      <c r="AH539" s="13"/>
      <c r="AN539" s="78"/>
      <c r="AP539" s="77"/>
      <c r="AU539" s="78"/>
      <c r="AV539" s="64"/>
      <c r="AX539" s="78"/>
      <c r="AY539" s="13"/>
    </row>
    <row r="540" spans="1:51" x14ac:dyDescent="0.2">
      <c r="A540" s="34">
        <v>44510</v>
      </c>
      <c r="B540" s="35" t="s">
        <v>331</v>
      </c>
      <c r="C540" s="54">
        <v>182</v>
      </c>
      <c r="D540" s="54"/>
      <c r="E540" s="44">
        <v>15000</v>
      </c>
      <c r="F540" s="44">
        <v>18160</v>
      </c>
      <c r="G540" s="56">
        <v>125</v>
      </c>
      <c r="H540" s="57">
        <v>8.1199999999999992</v>
      </c>
      <c r="I540" s="57">
        <v>8.2100000000000009</v>
      </c>
      <c r="J540" s="32">
        <f t="array" ref="J54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44691</v>
      </c>
      <c r="K540" s="59">
        <f>IFERROR(Table13[[#This Row],[Bid Accepted]]*(Table13[[#This Row],[WAYR Current]]%/364*Table13[[#This Row],[Days To Maturity]]),0)</f>
        <v>5.0749999999999993</v>
      </c>
      <c r="L540" s="41">
        <f>+Table13[[#This Row],[Bid Accepted]]-Table13[[#This Row],[Amount Offered]]</f>
        <v>-14875</v>
      </c>
      <c r="M540" s="57">
        <f>+IF(Table13[[#This Row],[WAYR Last]]&gt;0,IF(Table13[[#This Row],[WAYR Current]]&gt;0,(Table13[[#This Row],[WAYR Current]]-Table13[[#This Row],[WAYR Last]]),""),"")</f>
        <v>-9.0000000000001634E-2</v>
      </c>
      <c r="O540" s="77">
        <f>+Table13[[#This Row],[Bid Received]]/Table13[[#This Row],[Amount Offered]]</f>
        <v>1.2106666666666666</v>
      </c>
      <c r="P540" s="77">
        <f>+Table13[[#This Row],[Bid Accepted]]/Table13[[#This Row],[Amount Offered]]</f>
        <v>8.3333333333333332E-3</v>
      </c>
      <c r="Q540" s="77">
        <f>+Table13[[#This Row],[Bid Accepted]]/Table13[[#This Row],[Bid Received]]</f>
        <v>6.8832599118942728E-3</v>
      </c>
      <c r="AG540" s="78"/>
      <c r="AH540" s="13"/>
      <c r="AN540" s="78"/>
      <c r="AP540" s="77"/>
      <c r="AU540" s="78"/>
      <c r="AV540" s="64"/>
      <c r="AX540" s="78"/>
      <c r="AY540" s="13"/>
    </row>
    <row r="541" spans="1:51" x14ac:dyDescent="0.2">
      <c r="A541" s="34">
        <v>44510</v>
      </c>
      <c r="B541" s="35" t="s">
        <v>332</v>
      </c>
      <c r="C541" s="54">
        <v>364</v>
      </c>
      <c r="D541" s="54"/>
      <c r="E541" s="44">
        <v>17000</v>
      </c>
      <c r="F541" s="44">
        <v>18869</v>
      </c>
      <c r="G541" s="56">
        <v>394</v>
      </c>
      <c r="H541" s="57">
        <v>8.19</v>
      </c>
      <c r="I541" s="57">
        <v>8.26</v>
      </c>
      <c r="J541" s="32">
        <f t="array" ref="J54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44875</v>
      </c>
      <c r="K541" s="59">
        <f>IFERROR(Table13[[#This Row],[Bid Accepted]]*(Table13[[#This Row],[WAYR Current]]%/364*Table13[[#This Row],[Days To Maturity]]),0)</f>
        <v>32.268599999999999</v>
      </c>
      <c r="L541" s="41">
        <f>+Table13[[#This Row],[Bid Accepted]]-Table13[[#This Row],[Amount Offered]]</f>
        <v>-16606</v>
      </c>
      <c r="M541" s="57">
        <f>+IF(Table13[[#This Row],[WAYR Last]]&gt;0,IF(Table13[[#This Row],[WAYR Current]]&gt;0,(Table13[[#This Row],[WAYR Current]]-Table13[[#This Row],[WAYR Last]]),""),"")</f>
        <v>-7.0000000000000284E-2</v>
      </c>
      <c r="O541" s="77">
        <f>+Table13[[#This Row],[Bid Received]]/Table13[[#This Row],[Amount Offered]]</f>
        <v>1.1099411764705882</v>
      </c>
      <c r="P541" s="77">
        <f>+Table13[[#This Row],[Bid Accepted]]/Table13[[#This Row],[Amount Offered]]</f>
        <v>2.3176470588235295E-2</v>
      </c>
      <c r="Q541" s="77">
        <f>+Table13[[#This Row],[Bid Accepted]]/Table13[[#This Row],[Bid Received]]</f>
        <v>2.0880809793841749E-2</v>
      </c>
      <c r="AG541" s="78"/>
      <c r="AH541" s="13"/>
      <c r="AN541" s="78"/>
      <c r="AP541" s="77"/>
      <c r="AU541" s="78"/>
      <c r="AV541" s="64"/>
      <c r="AX541" s="78"/>
      <c r="AY541" s="13"/>
    </row>
    <row r="542" spans="1:51" x14ac:dyDescent="0.2">
      <c r="A542" s="34">
        <v>44516</v>
      </c>
      <c r="B542" s="35" t="s">
        <v>333</v>
      </c>
      <c r="C542" s="54">
        <v>91</v>
      </c>
      <c r="D542" s="54"/>
      <c r="E542" s="44">
        <v>15000</v>
      </c>
      <c r="F542" s="44">
        <v>134509</v>
      </c>
      <c r="G542" s="56">
        <v>46943</v>
      </c>
      <c r="H542" s="57">
        <v>7.77</v>
      </c>
      <c r="I542" s="57">
        <v>7.98</v>
      </c>
      <c r="J542" s="32">
        <f t="array" ref="J54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44608</v>
      </c>
      <c r="K542" s="59">
        <f>IFERROR(Table13[[#This Row],[Bid Accepted]]*(Table13[[#This Row],[WAYR Current]]%/364*Table13[[#This Row],[Days To Maturity]]),0)</f>
        <v>911.86777499999994</v>
      </c>
      <c r="L542" s="41">
        <f>+Table13[[#This Row],[Bid Accepted]]-Table13[[#This Row],[Amount Offered]]</f>
        <v>31943</v>
      </c>
      <c r="M542" s="57">
        <f>+IF(Table13[[#This Row],[WAYR Last]]&gt;0,IF(Table13[[#This Row],[WAYR Current]]&gt;0,(Table13[[#This Row],[WAYR Current]]-Table13[[#This Row],[WAYR Last]]),""),"")</f>
        <v>-0.21000000000000085</v>
      </c>
      <c r="O542" s="77">
        <f>+Table13[[#This Row],[Bid Received]]/Table13[[#This Row],[Amount Offered]]</f>
        <v>8.9672666666666672</v>
      </c>
      <c r="P542" s="77">
        <f>+Table13[[#This Row],[Bid Accepted]]/Table13[[#This Row],[Amount Offered]]</f>
        <v>3.1295333333333333</v>
      </c>
      <c r="Q542" s="77">
        <f>+Table13[[#This Row],[Bid Accepted]]/Table13[[#This Row],[Bid Received]]</f>
        <v>0.34899523451962322</v>
      </c>
      <c r="AG542" s="78"/>
      <c r="AH542" s="13"/>
      <c r="AN542" s="78"/>
      <c r="AP542" s="77"/>
      <c r="AU542" s="78"/>
      <c r="AV542" s="64"/>
      <c r="AX542" s="78"/>
      <c r="AY542" s="13"/>
    </row>
    <row r="543" spans="1:51" x14ac:dyDescent="0.2">
      <c r="A543" s="34">
        <v>44516</v>
      </c>
      <c r="B543" s="35" t="s">
        <v>334</v>
      </c>
      <c r="C543" s="54">
        <v>182</v>
      </c>
      <c r="D543" s="54"/>
      <c r="E543" s="44">
        <v>18000</v>
      </c>
      <c r="F543" s="44">
        <v>23747</v>
      </c>
      <c r="G543" s="56">
        <v>5757</v>
      </c>
      <c r="H543" s="57">
        <v>8.0299999999999994</v>
      </c>
      <c r="I543" s="57">
        <v>8.1199999999999992</v>
      </c>
      <c r="J543" s="32">
        <f t="array" ref="J54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44697</v>
      </c>
      <c r="K543" s="59">
        <f>IFERROR(Table13[[#This Row],[Bid Accepted]]*(Table13[[#This Row],[WAYR Current]]%/364*Table13[[#This Row],[Days To Maturity]]),0)</f>
        <v>231.14354999999998</v>
      </c>
      <c r="L543" s="41">
        <f>+Table13[[#This Row],[Bid Accepted]]-Table13[[#This Row],[Amount Offered]]</f>
        <v>-12243</v>
      </c>
      <c r="M543" s="57">
        <f>+IF(Table13[[#This Row],[WAYR Last]]&gt;0,IF(Table13[[#This Row],[WAYR Current]]&gt;0,(Table13[[#This Row],[WAYR Current]]-Table13[[#This Row],[WAYR Last]]),""),"")</f>
        <v>-8.9999999999999858E-2</v>
      </c>
      <c r="O543" s="77">
        <f>+Table13[[#This Row],[Bid Received]]/Table13[[#This Row],[Amount Offered]]</f>
        <v>1.3192777777777778</v>
      </c>
      <c r="P543" s="77">
        <f>+Table13[[#This Row],[Bid Accepted]]/Table13[[#This Row],[Amount Offered]]</f>
        <v>0.31983333333333336</v>
      </c>
      <c r="Q543" s="77">
        <f>+Table13[[#This Row],[Bid Accepted]]/Table13[[#This Row],[Bid Received]]</f>
        <v>0.24243062281551353</v>
      </c>
      <c r="AG543" s="78"/>
      <c r="AH543" s="13"/>
      <c r="AN543" s="78"/>
      <c r="AP543" s="77"/>
      <c r="AU543" s="78"/>
      <c r="AV543" s="64"/>
      <c r="AX543" s="78"/>
      <c r="AY543" s="13"/>
    </row>
    <row r="544" spans="1:51" x14ac:dyDescent="0.2">
      <c r="A544" s="34">
        <v>44516</v>
      </c>
      <c r="B544" s="35" t="s">
        <v>335</v>
      </c>
      <c r="C544" s="54">
        <v>364</v>
      </c>
      <c r="D544" s="54"/>
      <c r="E544" s="44">
        <v>20000</v>
      </c>
      <c r="F544" s="44">
        <v>21300</v>
      </c>
      <c r="G544" s="56">
        <v>300</v>
      </c>
      <c r="H544" s="57">
        <v>8.17</v>
      </c>
      <c r="I544" s="57">
        <v>8.19</v>
      </c>
      <c r="J544" s="32">
        <f t="array" ref="J54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44881</v>
      </c>
      <c r="K544" s="59">
        <f>IFERROR(Table13[[#This Row],[Bid Accepted]]*(Table13[[#This Row],[WAYR Current]]%/364*Table13[[#This Row],[Days To Maturity]]),0)</f>
        <v>24.509999999999998</v>
      </c>
      <c r="L544" s="41">
        <f>+Table13[[#This Row],[Bid Accepted]]-Table13[[#This Row],[Amount Offered]]</f>
        <v>-19700</v>
      </c>
      <c r="M544" s="57">
        <f>+IF(Table13[[#This Row],[WAYR Last]]&gt;0,IF(Table13[[#This Row],[WAYR Current]]&gt;0,(Table13[[#This Row],[WAYR Current]]-Table13[[#This Row],[WAYR Last]]),""),"")</f>
        <v>-1.9999999999999574E-2</v>
      </c>
      <c r="O544" s="77">
        <f>+Table13[[#This Row],[Bid Received]]/Table13[[#This Row],[Amount Offered]]</f>
        <v>1.0649999999999999</v>
      </c>
      <c r="P544" s="77">
        <f>+Table13[[#This Row],[Bid Accepted]]/Table13[[#This Row],[Amount Offered]]</f>
        <v>1.4999999999999999E-2</v>
      </c>
      <c r="Q544" s="77">
        <f>+Table13[[#This Row],[Bid Accepted]]/Table13[[#This Row],[Bid Received]]</f>
        <v>1.4084507042253521E-2</v>
      </c>
      <c r="AG544" s="78"/>
      <c r="AH544" s="13"/>
      <c r="AN544" s="78"/>
      <c r="AP544" s="77"/>
      <c r="AU544" s="78"/>
      <c r="AV544" s="64"/>
      <c r="AX544" s="78"/>
      <c r="AY544" s="13"/>
    </row>
    <row r="545" spans="1:51" x14ac:dyDescent="0.2">
      <c r="A545" s="34">
        <v>44524</v>
      </c>
      <c r="B545" s="35" t="s">
        <v>336</v>
      </c>
      <c r="C545" s="54">
        <v>91</v>
      </c>
      <c r="D545" s="54"/>
      <c r="E545" s="44">
        <v>18000</v>
      </c>
      <c r="F545" s="44">
        <v>112401</v>
      </c>
      <c r="G545" s="56">
        <v>49175</v>
      </c>
      <c r="H545" s="57">
        <v>7.53</v>
      </c>
      <c r="I545" s="57">
        <v>7.77</v>
      </c>
      <c r="J545" s="32">
        <f t="array" ref="J54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44616</v>
      </c>
      <c r="K545" s="59">
        <f>IFERROR(Table13[[#This Row],[Bid Accepted]]*(Table13[[#This Row],[WAYR Current]]%/364*Table13[[#This Row],[Days To Maturity]]),0)</f>
        <v>925.71937500000013</v>
      </c>
      <c r="L545" s="41">
        <f>+Table13[[#This Row],[Bid Accepted]]-Table13[[#This Row],[Amount Offered]]</f>
        <v>31175</v>
      </c>
      <c r="M545" s="57">
        <f>+IF(Table13[[#This Row],[WAYR Last]]&gt;0,IF(Table13[[#This Row],[WAYR Current]]&gt;0,(Table13[[#This Row],[WAYR Current]]-Table13[[#This Row],[WAYR Last]]),""),"")</f>
        <v>-0.23999999999999932</v>
      </c>
      <c r="O545" s="77">
        <f>+Table13[[#This Row],[Bid Received]]/Table13[[#This Row],[Amount Offered]]</f>
        <v>6.2445000000000004</v>
      </c>
      <c r="P545" s="77">
        <f>+Table13[[#This Row],[Bid Accepted]]/Table13[[#This Row],[Amount Offered]]</f>
        <v>2.7319444444444443</v>
      </c>
      <c r="Q545" s="77">
        <f>+Table13[[#This Row],[Bid Accepted]]/Table13[[#This Row],[Bid Received]]</f>
        <v>0.43749610768587466</v>
      </c>
      <c r="AG545" s="78"/>
      <c r="AH545" s="13"/>
      <c r="AN545" s="78"/>
      <c r="AP545" s="77"/>
      <c r="AU545" s="78"/>
      <c r="AV545" s="64"/>
      <c r="AX545" s="78"/>
      <c r="AY545" s="13"/>
    </row>
    <row r="546" spans="1:51" x14ac:dyDescent="0.2">
      <c r="A546" s="34">
        <v>44524</v>
      </c>
      <c r="B546" s="35" t="s">
        <v>337</v>
      </c>
      <c r="C546" s="54">
        <v>182</v>
      </c>
      <c r="D546" s="54"/>
      <c r="E546" s="44">
        <v>18000</v>
      </c>
      <c r="F546" s="44">
        <v>28932</v>
      </c>
      <c r="G546" s="56">
        <v>10407</v>
      </c>
      <c r="H546" s="57">
        <v>8.02</v>
      </c>
      <c r="I546" s="57">
        <v>8.0299999999999994</v>
      </c>
      <c r="J546" s="32">
        <f t="array" ref="J54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44705</v>
      </c>
      <c r="K546" s="59">
        <f>IFERROR(Table13[[#This Row],[Bid Accepted]]*(Table13[[#This Row],[WAYR Current]]%/364*Table13[[#This Row],[Days To Maturity]]),0)</f>
        <v>417.32069999999999</v>
      </c>
      <c r="L546" s="41">
        <f>+Table13[[#This Row],[Bid Accepted]]-Table13[[#This Row],[Amount Offered]]</f>
        <v>-7593</v>
      </c>
      <c r="M546" s="57">
        <f>+IF(Table13[[#This Row],[WAYR Last]]&gt;0,IF(Table13[[#This Row],[WAYR Current]]&gt;0,(Table13[[#This Row],[WAYR Current]]-Table13[[#This Row],[WAYR Last]]),""),"")</f>
        <v>-9.9999999999997868E-3</v>
      </c>
      <c r="O546" s="77">
        <f>+Table13[[#This Row],[Bid Received]]/Table13[[#This Row],[Amount Offered]]</f>
        <v>1.6073333333333333</v>
      </c>
      <c r="P546" s="77">
        <f>+Table13[[#This Row],[Bid Accepted]]/Table13[[#This Row],[Amount Offered]]</f>
        <v>0.57816666666666672</v>
      </c>
      <c r="Q546" s="77">
        <f>+Table13[[#This Row],[Bid Accepted]]/Table13[[#This Row],[Bid Received]]</f>
        <v>0.35970551638324344</v>
      </c>
      <c r="AG546" s="78"/>
      <c r="AH546" s="13"/>
      <c r="AN546" s="78"/>
      <c r="AP546" s="77"/>
      <c r="AU546" s="78"/>
      <c r="AV546" s="64"/>
      <c r="AX546" s="78"/>
      <c r="AY546" s="13"/>
    </row>
    <row r="547" spans="1:51" x14ac:dyDescent="0.2">
      <c r="A547" s="34">
        <v>44524</v>
      </c>
      <c r="B547" s="35" t="s">
        <v>338</v>
      </c>
      <c r="C547" s="54">
        <v>364</v>
      </c>
      <c r="D547" s="54"/>
      <c r="E547" s="44">
        <v>25000</v>
      </c>
      <c r="F547" s="44">
        <v>26834</v>
      </c>
      <c r="G547" s="56">
        <v>1418</v>
      </c>
      <c r="H547" s="57">
        <v>8.16</v>
      </c>
      <c r="I547" s="57">
        <v>8.17</v>
      </c>
      <c r="J547" s="32">
        <f t="array" ref="J54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44889</v>
      </c>
      <c r="K547" s="59">
        <f>IFERROR(Table13[[#This Row],[Bid Accepted]]*(Table13[[#This Row],[WAYR Current]]%/364*Table13[[#This Row],[Days To Maturity]]),0)</f>
        <v>115.70880000000001</v>
      </c>
      <c r="L547" s="41">
        <f>+Table13[[#This Row],[Bid Accepted]]-Table13[[#This Row],[Amount Offered]]</f>
        <v>-23582</v>
      </c>
      <c r="M547" s="57">
        <f>+IF(Table13[[#This Row],[WAYR Last]]&gt;0,IF(Table13[[#This Row],[WAYR Current]]&gt;0,(Table13[[#This Row],[WAYR Current]]-Table13[[#This Row],[WAYR Last]]),""),"")</f>
        <v>-9.9999999999997868E-3</v>
      </c>
      <c r="O547" s="77">
        <f>+Table13[[#This Row],[Bid Received]]/Table13[[#This Row],[Amount Offered]]</f>
        <v>1.0733600000000001</v>
      </c>
      <c r="P547" s="77">
        <f>+Table13[[#This Row],[Bid Accepted]]/Table13[[#This Row],[Amount Offered]]</f>
        <v>5.672E-2</v>
      </c>
      <c r="Q547" s="77">
        <f>+Table13[[#This Row],[Bid Accepted]]/Table13[[#This Row],[Bid Received]]</f>
        <v>5.2843407617202055E-2</v>
      </c>
      <c r="AG547" s="78"/>
      <c r="AH547" s="13"/>
      <c r="AN547" s="78"/>
      <c r="AP547" s="77"/>
      <c r="AU547" s="78"/>
      <c r="AV547" s="64"/>
      <c r="AX547" s="78"/>
      <c r="AY547" s="13"/>
    </row>
    <row r="548" spans="1:51" x14ac:dyDescent="0.2">
      <c r="A548" s="34">
        <v>44531</v>
      </c>
      <c r="B548" s="35" t="s">
        <v>339</v>
      </c>
      <c r="C548" s="54">
        <v>91</v>
      </c>
      <c r="D548" s="54"/>
      <c r="E548" s="44">
        <v>18000</v>
      </c>
      <c r="F548" s="44">
        <v>82421</v>
      </c>
      <c r="G548" s="56">
        <v>22726</v>
      </c>
      <c r="H548" s="57">
        <v>7.23</v>
      </c>
      <c r="I548" s="57">
        <v>7.53</v>
      </c>
      <c r="J548" s="32">
        <f t="array" ref="J54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44621</v>
      </c>
      <c r="K548" s="59">
        <f>IFERROR(Table13[[#This Row],[Bid Accepted]]*(Table13[[#This Row],[WAYR Current]]%/364*Table13[[#This Row],[Days To Maturity]]),0)</f>
        <v>410.77244999999999</v>
      </c>
      <c r="L548" s="41">
        <f>+Table13[[#This Row],[Bid Accepted]]-Table13[[#This Row],[Amount Offered]]</f>
        <v>4726</v>
      </c>
      <c r="M548" s="57">
        <f>+IF(Table13[[#This Row],[WAYR Last]]&gt;0,IF(Table13[[#This Row],[WAYR Current]]&gt;0,(Table13[[#This Row],[WAYR Current]]-Table13[[#This Row],[WAYR Last]]),""),"")</f>
        <v>-0.29999999999999982</v>
      </c>
      <c r="O548" s="77">
        <f>+Table13[[#This Row],[Bid Received]]/Table13[[#This Row],[Amount Offered]]</f>
        <v>4.5789444444444447</v>
      </c>
      <c r="P548" s="77">
        <f>+Table13[[#This Row],[Bid Accepted]]/Table13[[#This Row],[Amount Offered]]</f>
        <v>1.2625555555555557</v>
      </c>
      <c r="Q548" s="77">
        <f>+Table13[[#This Row],[Bid Accepted]]/Table13[[#This Row],[Bid Received]]</f>
        <v>0.2757306997003191</v>
      </c>
      <c r="AG548" s="78"/>
      <c r="AH548" s="13"/>
      <c r="AN548" s="78"/>
      <c r="AP548" s="77"/>
      <c r="AU548" s="78"/>
      <c r="AV548" s="64"/>
      <c r="AX548" s="78"/>
      <c r="AY548" s="13"/>
    </row>
    <row r="549" spans="1:51" x14ac:dyDescent="0.2">
      <c r="A549" s="34">
        <v>44531</v>
      </c>
      <c r="B549" s="35" t="s">
        <v>340</v>
      </c>
      <c r="C549" s="54">
        <v>182</v>
      </c>
      <c r="D549" s="54"/>
      <c r="E549" s="44">
        <v>20000</v>
      </c>
      <c r="F549" s="44">
        <v>53993</v>
      </c>
      <c r="G549" s="56">
        <v>35474</v>
      </c>
      <c r="H549" s="57">
        <v>7.97</v>
      </c>
      <c r="I549" s="57">
        <v>8.02</v>
      </c>
      <c r="J549" s="32">
        <f t="array" ref="J54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44713</v>
      </c>
      <c r="K549" s="59">
        <f>IFERROR(Table13[[#This Row],[Bid Accepted]]*(Table13[[#This Row],[WAYR Current]]%/364*Table13[[#This Row],[Days To Maturity]]),0)</f>
        <v>1413.6388999999999</v>
      </c>
      <c r="L549" s="41">
        <f>+Table13[[#This Row],[Bid Accepted]]-Table13[[#This Row],[Amount Offered]]</f>
        <v>15474</v>
      </c>
      <c r="M549" s="57">
        <f>+IF(Table13[[#This Row],[WAYR Last]]&gt;0,IF(Table13[[#This Row],[WAYR Current]]&gt;0,(Table13[[#This Row],[WAYR Current]]-Table13[[#This Row],[WAYR Last]]),""),"")</f>
        <v>-4.9999999999999822E-2</v>
      </c>
      <c r="O549" s="77">
        <f>+Table13[[#This Row],[Bid Received]]/Table13[[#This Row],[Amount Offered]]</f>
        <v>2.6996500000000001</v>
      </c>
      <c r="P549" s="77">
        <f>+Table13[[#This Row],[Bid Accepted]]/Table13[[#This Row],[Amount Offered]]</f>
        <v>1.7737000000000001</v>
      </c>
      <c r="Q549" s="77">
        <f>+Table13[[#This Row],[Bid Accepted]]/Table13[[#This Row],[Bid Received]]</f>
        <v>0.65701109403070768</v>
      </c>
      <c r="AG549" s="78"/>
      <c r="AH549" s="13"/>
      <c r="AN549" s="78"/>
      <c r="AP549" s="77"/>
      <c r="AU549" s="78"/>
      <c r="AV549" s="64"/>
      <c r="AX549" s="78"/>
      <c r="AY549" s="13"/>
    </row>
    <row r="550" spans="1:51" x14ac:dyDescent="0.2">
      <c r="A550" s="34">
        <v>44531</v>
      </c>
      <c r="B550" s="35" t="s">
        <v>341</v>
      </c>
      <c r="C550" s="54">
        <v>364</v>
      </c>
      <c r="D550" s="54"/>
      <c r="E550" s="44">
        <v>22000</v>
      </c>
      <c r="F550" s="44">
        <v>24750</v>
      </c>
      <c r="G550" s="56">
        <v>1800</v>
      </c>
      <c r="H550" s="57">
        <v>8.1199999999999992</v>
      </c>
      <c r="I550" s="57">
        <v>8.16</v>
      </c>
      <c r="J550" s="32">
        <f t="array" ref="J55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44896</v>
      </c>
      <c r="K550" s="59">
        <f>IFERROR(Table13[[#This Row],[Bid Accepted]]*(Table13[[#This Row],[WAYR Current]]%/364*Table13[[#This Row],[Days To Maturity]]),0)</f>
        <v>146.16</v>
      </c>
      <c r="L550" s="41">
        <f>+Table13[[#This Row],[Bid Accepted]]-Table13[[#This Row],[Amount Offered]]</f>
        <v>-20200</v>
      </c>
      <c r="M550" s="57">
        <f>+IF(Table13[[#This Row],[WAYR Last]]&gt;0,IF(Table13[[#This Row],[WAYR Current]]&gt;0,(Table13[[#This Row],[WAYR Current]]-Table13[[#This Row],[WAYR Last]]),""),"")</f>
        <v>-4.0000000000000924E-2</v>
      </c>
      <c r="O550" s="77">
        <f>+Table13[[#This Row],[Bid Received]]/Table13[[#This Row],[Amount Offered]]</f>
        <v>1.125</v>
      </c>
      <c r="P550" s="77">
        <f>+Table13[[#This Row],[Bid Accepted]]/Table13[[#This Row],[Amount Offered]]</f>
        <v>8.1818181818181818E-2</v>
      </c>
      <c r="Q550" s="77">
        <f>+Table13[[#This Row],[Bid Accepted]]/Table13[[#This Row],[Bid Received]]</f>
        <v>7.2727272727272724E-2</v>
      </c>
      <c r="AG550" s="78"/>
      <c r="AH550" s="13"/>
      <c r="AN550" s="78"/>
      <c r="AP550" s="77"/>
      <c r="AU550" s="78"/>
      <c r="AV550" s="64"/>
      <c r="AX550" s="78"/>
      <c r="AY550" s="13"/>
    </row>
    <row r="551" spans="1:51" x14ac:dyDescent="0.2">
      <c r="A551" s="34">
        <v>44552</v>
      </c>
      <c r="B551" s="35" t="s">
        <v>342</v>
      </c>
      <c r="C551" s="54">
        <v>91</v>
      </c>
      <c r="D551" s="54"/>
      <c r="E551" s="44">
        <v>13500</v>
      </c>
      <c r="F551" s="44">
        <v>39737</v>
      </c>
      <c r="G551" s="56">
        <v>28259</v>
      </c>
      <c r="H551" s="57">
        <v>7.71</v>
      </c>
      <c r="I551" s="57">
        <v>7.24</v>
      </c>
      <c r="J551" s="32">
        <f t="array" ref="J55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44642</v>
      </c>
      <c r="K551" s="59">
        <f>IFERROR(Table13[[#This Row],[Bid Accepted]]*(Table13[[#This Row],[WAYR Current]]%/364*Table13[[#This Row],[Days To Maturity]]),0)</f>
        <v>544.69222500000001</v>
      </c>
      <c r="L551" s="41">
        <f>+Table13[[#This Row],[Bid Accepted]]-Table13[[#This Row],[Amount Offered]]</f>
        <v>14759</v>
      </c>
      <c r="M551" s="57">
        <f>+IF(Table13[[#This Row],[WAYR Last]]&gt;0,IF(Table13[[#This Row],[WAYR Current]]&gt;0,(Table13[[#This Row],[WAYR Current]]-Table13[[#This Row],[WAYR Last]]),""),"")</f>
        <v>0.46999999999999975</v>
      </c>
      <c r="O551" s="77">
        <f>+Table13[[#This Row],[Bid Received]]/Table13[[#This Row],[Amount Offered]]</f>
        <v>2.9434814814814816</v>
      </c>
      <c r="P551" s="77">
        <f>+Table13[[#This Row],[Bid Accepted]]/Table13[[#This Row],[Amount Offered]]</f>
        <v>2.0932592592592592</v>
      </c>
      <c r="Q551" s="77">
        <f>+Table13[[#This Row],[Bid Accepted]]/Table13[[#This Row],[Bid Received]]</f>
        <v>0.71115081661927171</v>
      </c>
      <c r="AG551" s="78"/>
      <c r="AH551" s="13"/>
      <c r="AN551" s="78"/>
      <c r="AP551" s="77"/>
      <c r="AU551" s="78"/>
      <c r="AV551" s="64"/>
      <c r="AX551" s="78"/>
      <c r="AY551" s="13"/>
    </row>
    <row r="552" spans="1:51" x14ac:dyDescent="0.2">
      <c r="A552" s="34">
        <v>44552</v>
      </c>
      <c r="B552" s="35" t="s">
        <v>343</v>
      </c>
      <c r="C552" s="54">
        <v>182</v>
      </c>
      <c r="D552" s="54"/>
      <c r="E552" s="44">
        <v>17000</v>
      </c>
      <c r="F552" s="44">
        <v>25602</v>
      </c>
      <c r="G552" s="56">
        <v>9748</v>
      </c>
      <c r="H552" s="57">
        <v>8.1</v>
      </c>
      <c r="I552" s="57">
        <v>8.0299999999999994</v>
      </c>
      <c r="J552" s="32">
        <f t="array" ref="J55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44734</v>
      </c>
      <c r="K552" s="59">
        <f>IFERROR(Table13[[#This Row],[Bid Accepted]]*(Table13[[#This Row],[WAYR Current]]%/364*Table13[[#This Row],[Days To Maturity]]),0)</f>
        <v>394.79400000000004</v>
      </c>
      <c r="L552" s="41">
        <f>+Table13[[#This Row],[Bid Accepted]]-Table13[[#This Row],[Amount Offered]]</f>
        <v>-7252</v>
      </c>
      <c r="M552" s="57">
        <f>+IF(Table13[[#This Row],[WAYR Last]]&gt;0,IF(Table13[[#This Row],[WAYR Current]]&gt;0,(Table13[[#This Row],[WAYR Current]]-Table13[[#This Row],[WAYR Last]]),""),"")</f>
        <v>7.0000000000000284E-2</v>
      </c>
      <c r="O552" s="77">
        <f>+Table13[[#This Row],[Bid Received]]/Table13[[#This Row],[Amount Offered]]</f>
        <v>1.506</v>
      </c>
      <c r="P552" s="77">
        <f>+Table13[[#This Row],[Bid Accepted]]/Table13[[#This Row],[Amount Offered]]</f>
        <v>0.5734117647058824</v>
      </c>
      <c r="Q552" s="77">
        <f>+Table13[[#This Row],[Bid Accepted]]/Table13[[#This Row],[Bid Received]]</f>
        <v>0.38075150378876649</v>
      </c>
      <c r="AG552" s="78"/>
      <c r="AH552" s="13"/>
      <c r="AN552" s="78"/>
      <c r="AP552" s="77"/>
      <c r="AU552" s="78"/>
      <c r="AV552" s="64"/>
      <c r="AX552" s="78"/>
      <c r="AY552" s="13"/>
    </row>
    <row r="553" spans="1:51" x14ac:dyDescent="0.2">
      <c r="A553" s="34">
        <v>44552</v>
      </c>
      <c r="B553" s="35" t="s">
        <v>344</v>
      </c>
      <c r="C553" s="54">
        <v>364</v>
      </c>
      <c r="D553" s="54"/>
      <c r="E553" s="44">
        <v>17000</v>
      </c>
      <c r="F553" s="44">
        <v>18361</v>
      </c>
      <c r="G553" s="56">
        <v>2111</v>
      </c>
      <c r="H553" s="57">
        <v>8.02</v>
      </c>
      <c r="I553" s="57">
        <v>8.06</v>
      </c>
      <c r="J553" s="32">
        <f t="array" ref="J55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44917</v>
      </c>
      <c r="K553" s="59">
        <f>IFERROR(Table13[[#This Row],[Bid Accepted]]*(Table13[[#This Row],[WAYR Current]]%/364*Table13[[#This Row],[Days To Maturity]]),0)</f>
        <v>169.3022</v>
      </c>
      <c r="L553" s="41">
        <f>+Table13[[#This Row],[Bid Accepted]]-Table13[[#This Row],[Amount Offered]]</f>
        <v>-14889</v>
      </c>
      <c r="M553" s="57">
        <f>+IF(Table13[[#This Row],[WAYR Last]]&gt;0,IF(Table13[[#This Row],[WAYR Current]]&gt;0,(Table13[[#This Row],[WAYR Current]]-Table13[[#This Row],[WAYR Last]]),""),"")</f>
        <v>-4.0000000000000924E-2</v>
      </c>
      <c r="O553" s="77">
        <f>+Table13[[#This Row],[Bid Received]]/Table13[[#This Row],[Amount Offered]]</f>
        <v>1.0800588235294117</v>
      </c>
      <c r="P553" s="77">
        <f>+Table13[[#This Row],[Bid Accepted]]/Table13[[#This Row],[Amount Offered]]</f>
        <v>0.12417647058823529</v>
      </c>
      <c r="Q553" s="77">
        <f>+Table13[[#This Row],[Bid Accepted]]/Table13[[#This Row],[Bid Received]]</f>
        <v>0.11497195141876804</v>
      </c>
      <c r="AG553" s="78"/>
      <c r="AH553" s="13"/>
      <c r="AN553" s="78"/>
      <c r="AP553" s="77"/>
      <c r="AU553" s="78"/>
      <c r="AV553" s="64"/>
      <c r="AX553" s="78"/>
      <c r="AY553" s="13"/>
    </row>
    <row r="554" spans="1:51" x14ac:dyDescent="0.2">
      <c r="A554" s="34">
        <v>44559</v>
      </c>
      <c r="B554" s="35" t="s">
        <v>345</v>
      </c>
      <c r="C554" s="54">
        <v>91</v>
      </c>
      <c r="D554" s="54"/>
      <c r="E554" s="44">
        <v>13500</v>
      </c>
      <c r="F554" s="44">
        <v>46967</v>
      </c>
      <c r="G554" s="56">
        <v>31918</v>
      </c>
      <c r="H554" s="57">
        <v>8.16</v>
      </c>
      <c r="I554" s="57">
        <v>7.71</v>
      </c>
      <c r="J554" s="32">
        <f t="array" ref="J55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44649</v>
      </c>
      <c r="K554" s="59">
        <f>IFERROR(Table13[[#This Row],[Bid Accepted]]*(Table13[[#This Row],[WAYR Current]]%/364*Table13[[#This Row],[Days To Maturity]]),0)</f>
        <v>651.12720000000002</v>
      </c>
      <c r="L554" s="41">
        <f>+Table13[[#This Row],[Bid Accepted]]-Table13[[#This Row],[Amount Offered]]</f>
        <v>18418</v>
      </c>
      <c r="M554" s="57">
        <f>+IF(Table13[[#This Row],[WAYR Last]]&gt;0,IF(Table13[[#This Row],[WAYR Current]]&gt;0,(Table13[[#This Row],[WAYR Current]]-Table13[[#This Row],[WAYR Last]]),""),"")</f>
        <v>0.45000000000000018</v>
      </c>
      <c r="O554" s="77">
        <f>+Table13[[#This Row],[Bid Received]]/Table13[[#This Row],[Amount Offered]]</f>
        <v>3.4790370370370369</v>
      </c>
      <c r="P554" s="77">
        <f>+Table13[[#This Row],[Bid Accepted]]/Table13[[#This Row],[Amount Offered]]</f>
        <v>2.3642962962962963</v>
      </c>
      <c r="Q554" s="77">
        <f>+Table13[[#This Row],[Bid Accepted]]/Table13[[#This Row],[Bid Received]]</f>
        <v>0.67958353737730748</v>
      </c>
      <c r="AG554" s="78"/>
      <c r="AH554" s="13"/>
      <c r="AN554" s="78"/>
      <c r="AP554" s="77"/>
      <c r="AU554" s="78"/>
      <c r="AV554" s="64"/>
      <c r="AX554" s="78"/>
      <c r="AY554" s="13"/>
    </row>
    <row r="555" spans="1:51" x14ac:dyDescent="0.2">
      <c r="A555" s="34">
        <v>44559</v>
      </c>
      <c r="B555" s="35" t="s">
        <v>346</v>
      </c>
      <c r="C555" s="54">
        <v>182</v>
      </c>
      <c r="D555" s="54"/>
      <c r="E555" s="44">
        <v>20000</v>
      </c>
      <c r="F555" s="44">
        <v>20968</v>
      </c>
      <c r="G555" s="56">
        <v>1443</v>
      </c>
      <c r="H555" s="57">
        <v>8.33</v>
      </c>
      <c r="I555" s="57">
        <v>8.1</v>
      </c>
      <c r="J555" s="32">
        <f t="array" ref="J55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44741</v>
      </c>
      <c r="K555" s="59">
        <f>IFERROR(Table13[[#This Row],[Bid Accepted]]*(Table13[[#This Row],[WAYR Current]]%/364*Table13[[#This Row],[Days To Maturity]]),0)</f>
        <v>60.100949999999997</v>
      </c>
      <c r="L555" s="41">
        <f>+Table13[[#This Row],[Bid Accepted]]-Table13[[#This Row],[Amount Offered]]</f>
        <v>-18557</v>
      </c>
      <c r="M555" s="57">
        <f>+IF(Table13[[#This Row],[WAYR Last]]&gt;0,IF(Table13[[#This Row],[WAYR Current]]&gt;0,(Table13[[#This Row],[WAYR Current]]-Table13[[#This Row],[WAYR Last]]),""),"")</f>
        <v>0.23000000000000043</v>
      </c>
      <c r="O555" s="77">
        <f>+Table13[[#This Row],[Bid Received]]/Table13[[#This Row],[Amount Offered]]</f>
        <v>1.0484</v>
      </c>
      <c r="P555" s="77">
        <f>+Table13[[#This Row],[Bid Accepted]]/Table13[[#This Row],[Amount Offered]]</f>
        <v>7.2150000000000006E-2</v>
      </c>
      <c r="Q555" s="77">
        <f>+Table13[[#This Row],[Bid Accepted]]/Table13[[#This Row],[Bid Received]]</f>
        <v>6.8819152995040059E-2</v>
      </c>
      <c r="AG555" s="78"/>
      <c r="AH555" s="13"/>
      <c r="AN555" s="78"/>
      <c r="AP555" s="77"/>
      <c r="AU555" s="78"/>
      <c r="AV555" s="64"/>
      <c r="AX555" s="78"/>
      <c r="AY555" s="13"/>
    </row>
    <row r="556" spans="1:51" x14ac:dyDescent="0.2">
      <c r="A556" s="34">
        <v>44559</v>
      </c>
      <c r="B556" s="35" t="s">
        <v>347</v>
      </c>
      <c r="C556" s="54">
        <v>364</v>
      </c>
      <c r="D556" s="54"/>
      <c r="E556" s="44">
        <v>15000</v>
      </c>
      <c r="F556" s="44">
        <v>15765</v>
      </c>
      <c r="G556" s="56">
        <v>205</v>
      </c>
      <c r="H556" s="57">
        <v>8.24</v>
      </c>
      <c r="I556" s="57">
        <v>8.02</v>
      </c>
      <c r="J556" s="32">
        <f t="array" ref="J55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44924</v>
      </c>
      <c r="K556" s="59">
        <f>IFERROR(Table13[[#This Row],[Bid Accepted]]*(Table13[[#This Row],[WAYR Current]]%/364*Table13[[#This Row],[Days To Maturity]]),0)</f>
        <v>16.891999999999999</v>
      </c>
      <c r="L556" s="41">
        <f>+Table13[[#This Row],[Bid Accepted]]-Table13[[#This Row],[Amount Offered]]</f>
        <v>-14795</v>
      </c>
      <c r="M556" s="57">
        <f>+IF(Table13[[#This Row],[WAYR Last]]&gt;0,IF(Table13[[#This Row],[WAYR Current]]&gt;0,(Table13[[#This Row],[WAYR Current]]-Table13[[#This Row],[WAYR Last]]),""),"")</f>
        <v>0.22000000000000064</v>
      </c>
      <c r="O556" s="77">
        <f>+Table13[[#This Row],[Bid Received]]/Table13[[#This Row],[Amount Offered]]</f>
        <v>1.0509999999999999</v>
      </c>
      <c r="P556" s="77">
        <f>+Table13[[#This Row],[Bid Accepted]]/Table13[[#This Row],[Amount Offered]]</f>
        <v>1.3666666666666667E-2</v>
      </c>
      <c r="Q556" s="77">
        <f>+Table13[[#This Row],[Bid Accepted]]/Table13[[#This Row],[Bid Received]]</f>
        <v>1.30034887408817E-2</v>
      </c>
      <c r="AG556" s="78"/>
      <c r="AH556" s="13"/>
      <c r="AN556" s="78"/>
      <c r="AP556" s="77"/>
      <c r="AU556" s="78"/>
      <c r="AV556" s="64"/>
      <c r="AX556" s="78"/>
      <c r="AY556" s="13"/>
    </row>
    <row r="557" spans="1:51" x14ac:dyDescent="0.2">
      <c r="A557" s="34">
        <v>44566</v>
      </c>
      <c r="B557" s="35" t="s">
        <v>348</v>
      </c>
      <c r="C557" s="54">
        <v>91</v>
      </c>
      <c r="D557" s="54"/>
      <c r="E557" s="44">
        <v>25000</v>
      </c>
      <c r="F557" s="44">
        <v>108510</v>
      </c>
      <c r="G557" s="56">
        <v>71089</v>
      </c>
      <c r="H557" s="57">
        <v>8.26</v>
      </c>
      <c r="I557" s="57">
        <v>8.16</v>
      </c>
      <c r="J557" s="32">
        <f t="array" ref="J55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44656</v>
      </c>
      <c r="K557" s="59">
        <f>IFERROR(Table13[[#This Row],[Bid Accepted]]*(Table13[[#This Row],[WAYR Current]]%/364*Table13[[#This Row],[Days To Maturity]]),0)</f>
        <v>1467.98785</v>
      </c>
      <c r="L557" s="41">
        <f>+Table13[[#This Row],[Bid Accepted]]-Table13[[#This Row],[Amount Offered]]</f>
        <v>46089</v>
      </c>
      <c r="M557" s="57">
        <f>+IF(Table13[[#This Row],[WAYR Last]]&gt;0,IF(Table13[[#This Row],[WAYR Current]]&gt;0,(Table13[[#This Row],[WAYR Current]]-Table13[[#This Row],[WAYR Last]]),""),"")</f>
        <v>9.9999999999999645E-2</v>
      </c>
      <c r="O557" s="77">
        <f>+Table13[[#This Row],[Bid Received]]/Table13[[#This Row],[Amount Offered]]</f>
        <v>4.3403999999999998</v>
      </c>
      <c r="P557" s="77">
        <f>+Table13[[#This Row],[Bid Accepted]]/Table13[[#This Row],[Amount Offered]]</f>
        <v>2.8435600000000001</v>
      </c>
      <c r="Q557" s="77">
        <f>+Table13[[#This Row],[Bid Accepted]]/Table13[[#This Row],[Bid Received]]</f>
        <v>0.65513777532024697</v>
      </c>
      <c r="AG557" s="78"/>
      <c r="AH557" s="13"/>
      <c r="AN557" s="78"/>
      <c r="AP557" s="77"/>
      <c r="AU557" s="78"/>
      <c r="AV557" s="64"/>
      <c r="AX557" s="78"/>
      <c r="AY557" s="13"/>
    </row>
    <row r="558" spans="1:51" x14ac:dyDescent="0.2">
      <c r="A558" s="34">
        <v>44566</v>
      </c>
      <c r="B558" s="35" t="s">
        <v>349</v>
      </c>
      <c r="C558" s="54">
        <v>182</v>
      </c>
      <c r="D558" s="54"/>
      <c r="E558" s="44">
        <v>28000</v>
      </c>
      <c r="F558" s="44">
        <v>31519</v>
      </c>
      <c r="G558" s="56">
        <v>2413</v>
      </c>
      <c r="H558" s="57">
        <v>8.3000000000000007</v>
      </c>
      <c r="I558" s="57">
        <v>8.33</v>
      </c>
      <c r="J558" s="32">
        <f t="array" ref="J55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44747</v>
      </c>
      <c r="K558" s="59">
        <f>IFERROR(Table13[[#This Row],[Bid Accepted]]*(Table13[[#This Row],[WAYR Current]]%/364*Table13[[#This Row],[Days To Maturity]]),0)</f>
        <v>100.1395</v>
      </c>
      <c r="L558" s="41">
        <f>+Table13[[#This Row],[Bid Accepted]]-Table13[[#This Row],[Amount Offered]]</f>
        <v>-25587</v>
      </c>
      <c r="M558" s="57">
        <f>+IF(Table13[[#This Row],[WAYR Last]]&gt;0,IF(Table13[[#This Row],[WAYR Current]]&gt;0,(Table13[[#This Row],[WAYR Current]]-Table13[[#This Row],[WAYR Last]]),""),"")</f>
        <v>-2.9999999999999361E-2</v>
      </c>
      <c r="O558" s="77">
        <f>+Table13[[#This Row],[Bid Received]]/Table13[[#This Row],[Amount Offered]]</f>
        <v>1.1256785714285715</v>
      </c>
      <c r="P558" s="77">
        <f>+Table13[[#This Row],[Bid Accepted]]/Table13[[#This Row],[Amount Offered]]</f>
        <v>8.6178571428571424E-2</v>
      </c>
      <c r="Q558" s="77">
        <f>+Table13[[#This Row],[Bid Accepted]]/Table13[[#This Row],[Bid Received]]</f>
        <v>7.6556997366667726E-2</v>
      </c>
      <c r="AG558" s="78"/>
      <c r="AH558" s="13"/>
      <c r="AN558" s="78"/>
      <c r="AP558" s="77"/>
      <c r="AU558" s="78"/>
      <c r="AV558" s="64"/>
      <c r="AX558" s="78"/>
      <c r="AY558" s="13"/>
    </row>
    <row r="559" spans="1:51" x14ac:dyDescent="0.2">
      <c r="A559" s="34">
        <v>44566</v>
      </c>
      <c r="B559" s="35" t="s">
        <v>350</v>
      </c>
      <c r="C559" s="54">
        <v>364</v>
      </c>
      <c r="D559" s="54"/>
      <c r="E559" s="44">
        <v>21500</v>
      </c>
      <c r="F559" s="44">
        <v>23533</v>
      </c>
      <c r="G559" s="56">
        <v>998</v>
      </c>
      <c r="H559" s="57">
        <v>8.39</v>
      </c>
      <c r="I559" s="57">
        <v>8.24</v>
      </c>
      <c r="J559" s="32">
        <f t="array" ref="J55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44931</v>
      </c>
      <c r="K559" s="59">
        <f>IFERROR(Table13[[#This Row],[Bid Accepted]]*(Table13[[#This Row],[WAYR Current]]%/364*Table13[[#This Row],[Days To Maturity]]),0)</f>
        <v>83.732200000000006</v>
      </c>
      <c r="L559" s="41">
        <f>+Table13[[#This Row],[Bid Accepted]]-Table13[[#This Row],[Amount Offered]]</f>
        <v>-20502</v>
      </c>
      <c r="M559" s="57">
        <f>+IF(Table13[[#This Row],[WAYR Last]]&gt;0,IF(Table13[[#This Row],[WAYR Current]]&gt;0,(Table13[[#This Row],[WAYR Current]]-Table13[[#This Row],[WAYR Last]]),""),"")</f>
        <v>0.15000000000000036</v>
      </c>
      <c r="O559" s="77">
        <f>+Table13[[#This Row],[Bid Received]]/Table13[[#This Row],[Amount Offered]]</f>
        <v>1.0945581395348838</v>
      </c>
      <c r="P559" s="77">
        <f>+Table13[[#This Row],[Bid Accepted]]/Table13[[#This Row],[Amount Offered]]</f>
        <v>4.6418604651162793E-2</v>
      </c>
      <c r="Q559" s="77">
        <f>+Table13[[#This Row],[Bid Accepted]]/Table13[[#This Row],[Bid Received]]</f>
        <v>4.2408532698763442E-2</v>
      </c>
      <c r="AG559" s="78"/>
      <c r="AH559" s="13"/>
      <c r="AN559" s="78"/>
      <c r="AP559" s="77"/>
      <c r="AU559" s="78"/>
      <c r="AV559" s="64"/>
      <c r="AX559" s="78"/>
      <c r="AY559" s="13"/>
    </row>
    <row r="560" spans="1:51" x14ac:dyDescent="0.2">
      <c r="A560" s="34">
        <v>44573</v>
      </c>
      <c r="B560" s="35" t="s">
        <v>351</v>
      </c>
      <c r="C560" s="54">
        <v>91</v>
      </c>
      <c r="D560" s="54"/>
      <c r="E560" s="44">
        <v>18000</v>
      </c>
      <c r="F560" s="44">
        <v>143458</v>
      </c>
      <c r="G560" s="56">
        <v>79835</v>
      </c>
      <c r="H560" s="57">
        <v>8.3800000000000008</v>
      </c>
      <c r="I560" s="57">
        <v>8.26</v>
      </c>
      <c r="J560" s="32">
        <f t="array" ref="J56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44663</v>
      </c>
      <c r="K560" s="59">
        <f>IFERROR(Table13[[#This Row],[Bid Accepted]]*(Table13[[#This Row],[WAYR Current]]%/364*Table13[[#This Row],[Days To Maturity]]),0)</f>
        <v>1672.5432500000002</v>
      </c>
      <c r="L560" s="41">
        <f>+Table13[[#This Row],[Bid Accepted]]-Table13[[#This Row],[Amount Offered]]</f>
        <v>61835</v>
      </c>
      <c r="M560" s="57">
        <f>+IF(Table13[[#This Row],[WAYR Last]]&gt;0,IF(Table13[[#This Row],[WAYR Current]]&gt;0,(Table13[[#This Row],[WAYR Current]]-Table13[[#This Row],[WAYR Last]]),""),"")</f>
        <v>0.12000000000000099</v>
      </c>
      <c r="O560" s="77">
        <f>+Table13[[#This Row],[Bid Received]]/Table13[[#This Row],[Amount Offered]]</f>
        <v>7.9698888888888888</v>
      </c>
      <c r="P560" s="77">
        <f>+Table13[[#This Row],[Bid Accepted]]/Table13[[#This Row],[Amount Offered]]</f>
        <v>4.4352777777777774</v>
      </c>
      <c r="Q560" s="77">
        <f>+Table13[[#This Row],[Bid Accepted]]/Table13[[#This Row],[Bid Received]]</f>
        <v>0.55650434273445881</v>
      </c>
      <c r="AG560" s="78"/>
      <c r="AH560" s="13"/>
      <c r="AN560" s="78"/>
      <c r="AP560" s="77"/>
      <c r="AU560" s="78"/>
      <c r="AV560" s="64"/>
      <c r="AX560" s="78"/>
      <c r="AY560" s="13"/>
    </row>
    <row r="561" spans="1:51" x14ac:dyDescent="0.2">
      <c r="A561" s="34">
        <v>44573</v>
      </c>
      <c r="B561" s="35" t="s">
        <v>352</v>
      </c>
      <c r="C561" s="54">
        <v>182</v>
      </c>
      <c r="D561" s="54"/>
      <c r="E561" s="44">
        <v>31500</v>
      </c>
      <c r="F561" s="44">
        <v>34529</v>
      </c>
      <c r="G561" s="56">
        <v>790</v>
      </c>
      <c r="H561" s="57">
        <v>8.4</v>
      </c>
      <c r="I561" s="57">
        <v>8.3000000000000007</v>
      </c>
      <c r="J561" s="32">
        <f t="array" ref="J56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44754</v>
      </c>
      <c r="K561" s="59">
        <f>IFERROR(Table13[[#This Row],[Bid Accepted]]*(Table13[[#This Row],[WAYR Current]]%/364*Table13[[#This Row],[Days To Maturity]]),0)</f>
        <v>33.18</v>
      </c>
      <c r="L561" s="41">
        <f>+Table13[[#This Row],[Bid Accepted]]-Table13[[#This Row],[Amount Offered]]</f>
        <v>-30710</v>
      </c>
      <c r="M561" s="57">
        <f>+IF(Table13[[#This Row],[WAYR Last]]&gt;0,IF(Table13[[#This Row],[WAYR Current]]&gt;0,(Table13[[#This Row],[WAYR Current]]-Table13[[#This Row],[WAYR Last]]),""),"")</f>
        <v>9.9999999999999645E-2</v>
      </c>
      <c r="O561" s="77">
        <f>+Table13[[#This Row],[Bid Received]]/Table13[[#This Row],[Amount Offered]]</f>
        <v>1.0961587301587301</v>
      </c>
      <c r="P561" s="77">
        <f>+Table13[[#This Row],[Bid Accepted]]/Table13[[#This Row],[Amount Offered]]</f>
        <v>2.507936507936508E-2</v>
      </c>
      <c r="Q561" s="77">
        <f>+Table13[[#This Row],[Bid Accepted]]/Table13[[#This Row],[Bid Received]]</f>
        <v>2.2879318833444351E-2</v>
      </c>
      <c r="AG561" s="78"/>
      <c r="AH561" s="13"/>
      <c r="AN561" s="78"/>
      <c r="AP561" s="77"/>
      <c r="AU561" s="78"/>
      <c r="AV561" s="64"/>
      <c r="AX561" s="78"/>
      <c r="AY561" s="13"/>
    </row>
    <row r="562" spans="1:51" x14ac:dyDescent="0.2">
      <c r="A562" s="34">
        <v>44573</v>
      </c>
      <c r="B562" s="35" t="s">
        <v>353</v>
      </c>
      <c r="C562" s="54">
        <v>364</v>
      </c>
      <c r="D562" s="54"/>
      <c r="E562" s="44">
        <v>31500</v>
      </c>
      <c r="F562" s="44">
        <v>33180</v>
      </c>
      <c r="G562" s="56">
        <v>375</v>
      </c>
      <c r="H562" s="57">
        <v>8.44</v>
      </c>
      <c r="I562" s="57">
        <v>8.39</v>
      </c>
      <c r="J562" s="32">
        <f t="array" ref="J56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44938</v>
      </c>
      <c r="K562" s="59">
        <f>IFERROR(Table13[[#This Row],[Bid Accepted]]*(Table13[[#This Row],[WAYR Current]]%/364*Table13[[#This Row],[Days To Maturity]]),0)</f>
        <v>31.649999999999995</v>
      </c>
      <c r="L562" s="41">
        <f>+Table13[[#This Row],[Bid Accepted]]-Table13[[#This Row],[Amount Offered]]</f>
        <v>-31125</v>
      </c>
      <c r="M562" s="57">
        <f>+IF(Table13[[#This Row],[WAYR Last]]&gt;0,IF(Table13[[#This Row],[WAYR Current]]&gt;0,(Table13[[#This Row],[WAYR Current]]-Table13[[#This Row],[WAYR Last]]),""),"")</f>
        <v>4.9999999999998934E-2</v>
      </c>
      <c r="O562" s="77">
        <f>+Table13[[#This Row],[Bid Received]]/Table13[[#This Row],[Amount Offered]]</f>
        <v>1.0533333333333332</v>
      </c>
      <c r="P562" s="77">
        <f>+Table13[[#This Row],[Bid Accepted]]/Table13[[#This Row],[Amount Offered]]</f>
        <v>1.1904761904761904E-2</v>
      </c>
      <c r="Q562" s="77">
        <f>+Table13[[#This Row],[Bid Accepted]]/Table13[[#This Row],[Bid Received]]</f>
        <v>1.1301989150090416E-2</v>
      </c>
      <c r="AG562" s="78"/>
      <c r="AH562" s="13"/>
      <c r="AN562" s="78"/>
      <c r="AP562" s="77"/>
      <c r="AU562" s="78"/>
      <c r="AV562" s="64"/>
      <c r="AX562" s="78"/>
      <c r="AY562" s="13"/>
    </row>
    <row r="563" spans="1:51" x14ac:dyDescent="0.2">
      <c r="A563" s="34">
        <v>44580</v>
      </c>
      <c r="B563" s="35" t="s">
        <v>354</v>
      </c>
      <c r="C563" s="54">
        <v>91</v>
      </c>
      <c r="D563" s="54"/>
      <c r="E563" s="44">
        <v>35000</v>
      </c>
      <c r="F563" s="44">
        <v>147761</v>
      </c>
      <c r="G563" s="56">
        <v>96620</v>
      </c>
      <c r="H563" s="57">
        <v>8.49</v>
      </c>
      <c r="I563" s="57">
        <v>8.3800000000000008</v>
      </c>
      <c r="J563" s="32">
        <f t="array" ref="J56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44670</v>
      </c>
      <c r="K563" s="59">
        <f>IFERROR(Table13[[#This Row],[Bid Accepted]]*(Table13[[#This Row],[WAYR Current]]%/364*Table13[[#This Row],[Days To Maturity]]),0)</f>
        <v>2050.7595000000001</v>
      </c>
      <c r="L563" s="41">
        <f>+Table13[[#This Row],[Bid Accepted]]-Table13[[#This Row],[Amount Offered]]</f>
        <v>61620</v>
      </c>
      <c r="M563" s="57">
        <f>+IF(Table13[[#This Row],[WAYR Last]]&gt;0,IF(Table13[[#This Row],[WAYR Current]]&gt;0,(Table13[[#This Row],[WAYR Current]]-Table13[[#This Row],[WAYR Last]]),""),"")</f>
        <v>0.10999999999999943</v>
      </c>
      <c r="O563" s="77">
        <f>+Table13[[#This Row],[Bid Received]]/Table13[[#This Row],[Amount Offered]]</f>
        <v>4.221742857142857</v>
      </c>
      <c r="P563" s="77">
        <f>+Table13[[#This Row],[Bid Accepted]]/Table13[[#This Row],[Amount Offered]]</f>
        <v>2.7605714285714287</v>
      </c>
      <c r="Q563" s="77">
        <f>+Table13[[#This Row],[Bid Accepted]]/Table13[[#This Row],[Bid Received]]</f>
        <v>0.65389378794133768</v>
      </c>
      <c r="AG563" s="78"/>
      <c r="AH563" s="13"/>
      <c r="AN563" s="78"/>
      <c r="AP563" s="77"/>
      <c r="AU563" s="78"/>
      <c r="AV563" s="64"/>
      <c r="AX563" s="78"/>
      <c r="AY563" s="13"/>
    </row>
    <row r="564" spans="1:51" x14ac:dyDescent="0.2">
      <c r="A564" s="34">
        <v>44580</v>
      </c>
      <c r="B564" s="35" t="s">
        <v>355</v>
      </c>
      <c r="C564" s="54">
        <v>182</v>
      </c>
      <c r="D564" s="54"/>
      <c r="E564" s="44">
        <v>27000</v>
      </c>
      <c r="F564" s="44">
        <v>27120</v>
      </c>
      <c r="G564" s="56">
        <v>270</v>
      </c>
      <c r="H564" s="57">
        <v>8.44</v>
      </c>
      <c r="I564" s="57">
        <v>8.4</v>
      </c>
      <c r="J564" s="32">
        <f t="array" ref="J56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44761</v>
      </c>
      <c r="K564" s="59">
        <f>IFERROR(Table13[[#This Row],[Bid Accepted]]*(Table13[[#This Row],[WAYR Current]]%/364*Table13[[#This Row],[Days To Maturity]]),0)</f>
        <v>11.393999999999998</v>
      </c>
      <c r="L564" s="41">
        <f>+Table13[[#This Row],[Bid Accepted]]-Table13[[#This Row],[Amount Offered]]</f>
        <v>-26730</v>
      </c>
      <c r="M564" s="57">
        <f>+IF(Table13[[#This Row],[WAYR Last]]&gt;0,IF(Table13[[#This Row],[WAYR Current]]&gt;0,(Table13[[#This Row],[WAYR Current]]-Table13[[#This Row],[WAYR Last]]),""),"")</f>
        <v>3.9999999999999147E-2</v>
      </c>
      <c r="O564" s="77">
        <f>+Table13[[#This Row],[Bid Received]]/Table13[[#This Row],[Amount Offered]]</f>
        <v>1.0044444444444445</v>
      </c>
      <c r="P564" s="77">
        <f>+Table13[[#This Row],[Bid Accepted]]/Table13[[#This Row],[Amount Offered]]</f>
        <v>0.01</v>
      </c>
      <c r="Q564" s="77">
        <f>+Table13[[#This Row],[Bid Accepted]]/Table13[[#This Row],[Bid Received]]</f>
        <v>9.9557522123893804E-3</v>
      </c>
      <c r="AG564" s="78"/>
      <c r="AH564" s="13"/>
      <c r="AN564" s="78"/>
      <c r="AP564" s="77"/>
      <c r="AU564" s="78"/>
      <c r="AV564" s="64"/>
      <c r="AX564" s="78"/>
      <c r="AY564" s="13"/>
    </row>
    <row r="565" spans="1:51" x14ac:dyDescent="0.2">
      <c r="A565" s="34">
        <v>44580</v>
      </c>
      <c r="B565" s="35" t="s">
        <v>356</v>
      </c>
      <c r="C565" s="54">
        <v>364</v>
      </c>
      <c r="D565" s="54"/>
      <c r="E565" s="44">
        <v>35000</v>
      </c>
      <c r="F565" s="44">
        <v>35065</v>
      </c>
      <c r="G565" s="56">
        <v>110</v>
      </c>
      <c r="H565" s="57">
        <v>8.48</v>
      </c>
      <c r="I565" s="57">
        <v>8.44</v>
      </c>
      <c r="J565" s="32">
        <f t="array" ref="J56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44945</v>
      </c>
      <c r="K565" s="59">
        <f>IFERROR(Table13[[#This Row],[Bid Accepted]]*(Table13[[#This Row],[WAYR Current]]%/364*Table13[[#This Row],[Days To Maturity]]),0)</f>
        <v>9.3279999999999994</v>
      </c>
      <c r="L565" s="41">
        <f>+Table13[[#This Row],[Bid Accepted]]-Table13[[#This Row],[Amount Offered]]</f>
        <v>-34890</v>
      </c>
      <c r="M565" s="57">
        <f>+IF(Table13[[#This Row],[WAYR Last]]&gt;0,IF(Table13[[#This Row],[WAYR Current]]&gt;0,(Table13[[#This Row],[WAYR Current]]-Table13[[#This Row],[WAYR Last]]),""),"")</f>
        <v>4.0000000000000924E-2</v>
      </c>
      <c r="O565" s="77">
        <f>+Table13[[#This Row],[Bid Received]]/Table13[[#This Row],[Amount Offered]]</f>
        <v>1.0018571428571428</v>
      </c>
      <c r="P565" s="77">
        <f>+Table13[[#This Row],[Bid Accepted]]/Table13[[#This Row],[Amount Offered]]</f>
        <v>3.142857142857143E-3</v>
      </c>
      <c r="Q565" s="77">
        <f>+Table13[[#This Row],[Bid Accepted]]/Table13[[#This Row],[Bid Received]]</f>
        <v>3.1370312277199486E-3</v>
      </c>
      <c r="AG565" s="78"/>
      <c r="AH565" s="13"/>
      <c r="AN565" s="78"/>
      <c r="AP565" s="77"/>
      <c r="AU565" s="78"/>
      <c r="AV565" s="64"/>
      <c r="AX565" s="78"/>
      <c r="AY565" s="13"/>
    </row>
    <row r="566" spans="1:51" x14ac:dyDescent="0.2">
      <c r="A566" s="34">
        <v>44587</v>
      </c>
      <c r="B566" s="35" t="s">
        <v>357</v>
      </c>
      <c r="C566" s="54">
        <v>91</v>
      </c>
      <c r="D566" s="54"/>
      <c r="E566" s="44">
        <v>30000</v>
      </c>
      <c r="F566" s="44">
        <v>141524</v>
      </c>
      <c r="G566" s="56">
        <v>77393</v>
      </c>
      <c r="H566" s="57">
        <v>8.6300000000000008</v>
      </c>
      <c r="I566" s="57">
        <v>8.49</v>
      </c>
      <c r="J566" s="32">
        <f t="array" ref="J56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44677</v>
      </c>
      <c r="K566" s="59">
        <f>IFERROR(Table13[[#This Row],[Bid Accepted]]*(Table13[[#This Row],[WAYR Current]]%/364*Table13[[#This Row],[Days To Maturity]]),0)</f>
        <v>1669.7539750000001</v>
      </c>
      <c r="L566" s="41">
        <f>+Table13[[#This Row],[Bid Accepted]]-Table13[[#This Row],[Amount Offered]]</f>
        <v>47393</v>
      </c>
      <c r="M566" s="57">
        <f>+IF(Table13[[#This Row],[WAYR Last]]&gt;0,IF(Table13[[#This Row],[WAYR Current]]&gt;0,(Table13[[#This Row],[WAYR Current]]-Table13[[#This Row],[WAYR Last]]),""),"")</f>
        <v>0.14000000000000057</v>
      </c>
      <c r="O566" s="77">
        <f>+Table13[[#This Row],[Bid Received]]/Table13[[#This Row],[Amount Offered]]</f>
        <v>4.7174666666666667</v>
      </c>
      <c r="P566" s="77">
        <f>+Table13[[#This Row],[Bid Accepted]]/Table13[[#This Row],[Amount Offered]]</f>
        <v>2.5797666666666665</v>
      </c>
      <c r="Q566" s="77">
        <f>+Table13[[#This Row],[Bid Accepted]]/Table13[[#This Row],[Bid Received]]</f>
        <v>0.54685424380317116</v>
      </c>
      <c r="AG566" s="78"/>
      <c r="AH566" s="13"/>
      <c r="AN566" s="78"/>
      <c r="AP566" s="77"/>
      <c r="AU566" s="78"/>
      <c r="AV566" s="64"/>
      <c r="AX566" s="78"/>
      <c r="AY566" s="13"/>
    </row>
    <row r="567" spans="1:51" x14ac:dyDescent="0.2">
      <c r="A567" s="34">
        <v>44587</v>
      </c>
      <c r="B567" s="35" t="s">
        <v>358</v>
      </c>
      <c r="C567" s="54">
        <v>182</v>
      </c>
      <c r="D567" s="54"/>
      <c r="E567" s="44">
        <v>20500</v>
      </c>
      <c r="F567" s="44">
        <v>21820</v>
      </c>
      <c r="G567" s="56">
        <v>1430</v>
      </c>
      <c r="H567" s="57">
        <v>8.5500000000000007</v>
      </c>
      <c r="I567" s="57">
        <v>8.44</v>
      </c>
      <c r="J567" s="32">
        <f t="array" ref="J56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44768</v>
      </c>
      <c r="K567" s="59">
        <f>IFERROR(Table13[[#This Row],[Bid Accepted]]*(Table13[[#This Row],[WAYR Current]]%/364*Table13[[#This Row],[Days To Maturity]]),0)</f>
        <v>61.132500000000007</v>
      </c>
      <c r="L567" s="41">
        <f>+Table13[[#This Row],[Bid Accepted]]-Table13[[#This Row],[Amount Offered]]</f>
        <v>-19070</v>
      </c>
      <c r="M567" s="57">
        <f>+IF(Table13[[#This Row],[WAYR Last]]&gt;0,IF(Table13[[#This Row],[WAYR Current]]&gt;0,(Table13[[#This Row],[WAYR Current]]-Table13[[#This Row],[WAYR Last]]),""),"")</f>
        <v>0.11000000000000121</v>
      </c>
      <c r="O567" s="77">
        <f>+Table13[[#This Row],[Bid Received]]/Table13[[#This Row],[Amount Offered]]</f>
        <v>1.0643902439024391</v>
      </c>
      <c r="P567" s="77">
        <f>+Table13[[#This Row],[Bid Accepted]]/Table13[[#This Row],[Amount Offered]]</f>
        <v>6.9756097560975616E-2</v>
      </c>
      <c r="Q567" s="77">
        <f>+Table13[[#This Row],[Bid Accepted]]/Table13[[#This Row],[Bid Received]]</f>
        <v>6.5536205316223645E-2</v>
      </c>
      <c r="AG567" s="78"/>
      <c r="AH567" s="13"/>
      <c r="AN567" s="78"/>
      <c r="AP567" s="77"/>
      <c r="AU567" s="78"/>
      <c r="AV567" s="64"/>
      <c r="AX567" s="78"/>
      <c r="AY567" s="13"/>
    </row>
    <row r="568" spans="1:51" x14ac:dyDescent="0.2">
      <c r="A568" s="34">
        <v>44587</v>
      </c>
      <c r="B568" s="35" t="s">
        <v>359</v>
      </c>
      <c r="C568" s="54">
        <v>364</v>
      </c>
      <c r="D568" s="54"/>
      <c r="E568" s="44">
        <v>30000</v>
      </c>
      <c r="F568" s="44">
        <v>31097</v>
      </c>
      <c r="G568" s="56">
        <v>1677</v>
      </c>
      <c r="H568" s="57">
        <v>8.5500000000000007</v>
      </c>
      <c r="I568" s="57">
        <v>8.48</v>
      </c>
      <c r="J568" s="32">
        <f t="array" ref="J56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44952</v>
      </c>
      <c r="K568" s="59">
        <f>IFERROR(Table13[[#This Row],[Bid Accepted]]*(Table13[[#This Row],[WAYR Current]]%/364*Table13[[#This Row],[Days To Maturity]]),0)</f>
        <v>143.3835</v>
      </c>
      <c r="L568" s="41">
        <f>+Table13[[#This Row],[Bid Accepted]]-Table13[[#This Row],[Amount Offered]]</f>
        <v>-28323</v>
      </c>
      <c r="M568" s="57">
        <f>+IF(Table13[[#This Row],[WAYR Last]]&gt;0,IF(Table13[[#This Row],[WAYR Current]]&gt;0,(Table13[[#This Row],[WAYR Current]]-Table13[[#This Row],[WAYR Last]]),""),"")</f>
        <v>7.0000000000000284E-2</v>
      </c>
      <c r="O568" s="77">
        <f>+Table13[[#This Row],[Bid Received]]/Table13[[#This Row],[Amount Offered]]</f>
        <v>1.0365666666666666</v>
      </c>
      <c r="P568" s="77">
        <f>+Table13[[#This Row],[Bid Accepted]]/Table13[[#This Row],[Amount Offered]]</f>
        <v>5.5899999999999998E-2</v>
      </c>
      <c r="Q568" s="77">
        <f>+Table13[[#This Row],[Bid Accepted]]/Table13[[#This Row],[Bid Received]]</f>
        <v>5.3928031642923757E-2</v>
      </c>
      <c r="AG568" s="78"/>
      <c r="AH568" s="13"/>
      <c r="AN568" s="78"/>
      <c r="AP568" s="77"/>
      <c r="AU568" s="78"/>
      <c r="AV568" s="64"/>
      <c r="AX568" s="78"/>
      <c r="AY568" s="13"/>
    </row>
    <row r="569" spans="1:51" x14ac:dyDescent="0.2">
      <c r="A569" s="34">
        <v>44594</v>
      </c>
      <c r="B569" s="35" t="s">
        <v>360</v>
      </c>
      <c r="C569" s="54">
        <v>91</v>
      </c>
      <c r="D569" s="54"/>
      <c r="E569" s="44">
        <v>38000</v>
      </c>
      <c r="F569" s="44">
        <v>183453</v>
      </c>
      <c r="G569" s="56">
        <v>88500</v>
      </c>
      <c r="H569" s="57">
        <v>8.59</v>
      </c>
      <c r="I569" s="57">
        <v>8.6300000000000008</v>
      </c>
      <c r="J569" s="32">
        <f t="array" ref="J56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44683</v>
      </c>
      <c r="K569" s="59">
        <f>IFERROR(Table13[[#This Row],[Bid Accepted]]*(Table13[[#This Row],[WAYR Current]]%/364*Table13[[#This Row],[Days To Maturity]]),0)</f>
        <v>1900.5375000000001</v>
      </c>
      <c r="L569" s="41">
        <f>+Table13[[#This Row],[Bid Accepted]]-Table13[[#This Row],[Amount Offered]]</f>
        <v>50500</v>
      </c>
      <c r="M569" s="57">
        <f>+IF(Table13[[#This Row],[WAYR Last]]&gt;0,IF(Table13[[#This Row],[WAYR Current]]&gt;0,(Table13[[#This Row],[WAYR Current]]-Table13[[#This Row],[WAYR Last]]),""),"")</f>
        <v>-4.0000000000000924E-2</v>
      </c>
      <c r="O569" s="77">
        <f>+Table13[[#This Row],[Bid Received]]/Table13[[#This Row],[Amount Offered]]</f>
        <v>4.8277105263157898</v>
      </c>
      <c r="P569" s="77">
        <f>+Table13[[#This Row],[Bid Accepted]]/Table13[[#This Row],[Amount Offered]]</f>
        <v>2.3289473684210527</v>
      </c>
      <c r="Q569" s="77">
        <f>+Table13[[#This Row],[Bid Accepted]]/Table13[[#This Row],[Bid Received]]</f>
        <v>0.48241238900426814</v>
      </c>
      <c r="AG569" s="78"/>
      <c r="AH569" s="13"/>
      <c r="AN569" s="78"/>
      <c r="AP569" s="77"/>
      <c r="AU569" s="78"/>
      <c r="AV569" s="64"/>
      <c r="AX569" s="78"/>
      <c r="AY569" s="13"/>
    </row>
    <row r="570" spans="1:51" x14ac:dyDescent="0.2">
      <c r="A570" s="34">
        <v>44594</v>
      </c>
      <c r="B570" s="35" t="s">
        <v>361</v>
      </c>
      <c r="C570" s="54">
        <v>182</v>
      </c>
      <c r="D570" s="54"/>
      <c r="E570" s="44">
        <v>20500</v>
      </c>
      <c r="F570" s="44">
        <v>21070</v>
      </c>
      <c r="G570" s="56">
        <v>0</v>
      </c>
      <c r="H570" s="57">
        <v>0</v>
      </c>
      <c r="I570" s="57">
        <v>8.5500000000000007</v>
      </c>
      <c r="J570" s="32">
        <f t="array" ref="J57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44775</v>
      </c>
      <c r="K570" s="59">
        <f>IFERROR(Table13[[#This Row],[Bid Accepted]]*(Table13[[#This Row],[WAYR Current]]%/364*Table13[[#This Row],[Days To Maturity]]),0)</f>
        <v>0</v>
      </c>
      <c r="L570" s="41">
        <f>+Table13[[#This Row],[Bid Accepted]]-Table13[[#This Row],[Amount Offered]]</f>
        <v>-20500</v>
      </c>
      <c r="M570" s="57" t="str">
        <f>+IF(Table13[[#This Row],[WAYR Last]]&gt;0,IF(Table13[[#This Row],[WAYR Current]]&gt;0,(Table13[[#This Row],[WAYR Current]]-Table13[[#This Row],[WAYR Last]]),""),"")</f>
        <v/>
      </c>
      <c r="O570" s="77">
        <f>+Table13[[#This Row],[Bid Received]]/Table13[[#This Row],[Amount Offered]]</f>
        <v>1.0278048780487805</v>
      </c>
      <c r="P570" s="77">
        <f>+Table13[[#This Row],[Bid Accepted]]/Table13[[#This Row],[Amount Offered]]</f>
        <v>0</v>
      </c>
      <c r="Q570" s="77">
        <f>+Table13[[#This Row],[Bid Accepted]]/Table13[[#This Row],[Bid Received]]</f>
        <v>0</v>
      </c>
      <c r="AG570" s="78"/>
      <c r="AH570" s="13"/>
      <c r="AN570" s="78"/>
      <c r="AP570" s="77"/>
      <c r="AU570" s="78"/>
      <c r="AV570" s="64"/>
      <c r="AX570" s="78"/>
      <c r="AY570" s="13"/>
    </row>
    <row r="571" spans="1:51" x14ac:dyDescent="0.2">
      <c r="A571" s="34">
        <v>44594</v>
      </c>
      <c r="B571" s="35" t="s">
        <v>362</v>
      </c>
      <c r="C571" s="54">
        <v>364</v>
      </c>
      <c r="D571" s="54"/>
      <c r="E571" s="44">
        <v>30000</v>
      </c>
      <c r="F571" s="44">
        <v>30190</v>
      </c>
      <c r="G571" s="56">
        <v>0</v>
      </c>
      <c r="H571" s="57">
        <v>0</v>
      </c>
      <c r="I571" s="57">
        <v>8.5500000000000007</v>
      </c>
      <c r="J571" s="32">
        <f t="array" ref="J57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44959</v>
      </c>
      <c r="K571" s="59">
        <f>IFERROR(Table13[[#This Row],[Bid Accepted]]*(Table13[[#This Row],[WAYR Current]]%/364*Table13[[#This Row],[Days To Maturity]]),0)</f>
        <v>0</v>
      </c>
      <c r="L571" s="41">
        <f>+Table13[[#This Row],[Bid Accepted]]-Table13[[#This Row],[Amount Offered]]</f>
        <v>-30000</v>
      </c>
      <c r="M571" s="57" t="str">
        <f>+IF(Table13[[#This Row],[WAYR Last]]&gt;0,IF(Table13[[#This Row],[WAYR Current]]&gt;0,(Table13[[#This Row],[WAYR Current]]-Table13[[#This Row],[WAYR Last]]),""),"")</f>
        <v/>
      </c>
      <c r="O571" s="77">
        <f>+Table13[[#This Row],[Bid Received]]/Table13[[#This Row],[Amount Offered]]</f>
        <v>1.0063333333333333</v>
      </c>
      <c r="P571" s="77">
        <f>+Table13[[#This Row],[Bid Accepted]]/Table13[[#This Row],[Amount Offered]]</f>
        <v>0</v>
      </c>
      <c r="Q571" s="77">
        <f>+Table13[[#This Row],[Bid Accepted]]/Table13[[#This Row],[Bid Received]]</f>
        <v>0</v>
      </c>
      <c r="AG571" s="78"/>
      <c r="AH571" s="13"/>
      <c r="AN571" s="78"/>
      <c r="AP571" s="77"/>
      <c r="AU571" s="78"/>
      <c r="AV571" s="64"/>
      <c r="AX571" s="78"/>
      <c r="AY571" s="13"/>
    </row>
    <row r="572" spans="1:51" x14ac:dyDescent="0.2">
      <c r="A572" s="34">
        <v>44601</v>
      </c>
      <c r="B572" s="35" t="s">
        <v>363</v>
      </c>
      <c r="C572" s="54">
        <v>91</v>
      </c>
      <c r="D572" s="54"/>
      <c r="E572" s="44">
        <v>37000</v>
      </c>
      <c r="F572" s="44">
        <v>152069</v>
      </c>
      <c r="G572" s="56">
        <v>76700</v>
      </c>
      <c r="H572" s="57">
        <v>8.52</v>
      </c>
      <c r="I572" s="57">
        <v>8.59</v>
      </c>
      <c r="J572" s="32">
        <f t="array" ref="J57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44690</v>
      </c>
      <c r="K572" s="59">
        <f>IFERROR(Table13[[#This Row],[Bid Accepted]]*(Table13[[#This Row],[WAYR Current]]%/364*Table13[[#This Row],[Days To Maturity]]),0)</f>
        <v>1633.71</v>
      </c>
      <c r="L572" s="41">
        <f>+Table13[[#This Row],[Bid Accepted]]-Table13[[#This Row],[Amount Offered]]</f>
        <v>39700</v>
      </c>
      <c r="M572" s="57">
        <f>+IF(Table13[[#This Row],[WAYR Last]]&gt;0,IF(Table13[[#This Row],[WAYR Current]]&gt;0,(Table13[[#This Row],[WAYR Current]]-Table13[[#This Row],[WAYR Last]]),""),"")</f>
        <v>-7.0000000000000284E-2</v>
      </c>
      <c r="O572" s="77">
        <f>+Table13[[#This Row],[Bid Received]]/Table13[[#This Row],[Amount Offered]]</f>
        <v>4.1099729729729733</v>
      </c>
      <c r="P572" s="77">
        <f>+Table13[[#This Row],[Bid Accepted]]/Table13[[#This Row],[Amount Offered]]</f>
        <v>2.0729729729729729</v>
      </c>
      <c r="Q572" s="77">
        <f>+Table13[[#This Row],[Bid Accepted]]/Table13[[#This Row],[Bid Received]]</f>
        <v>0.50437630286251633</v>
      </c>
      <c r="AG572" s="78"/>
      <c r="AH572" s="13"/>
      <c r="AN572" s="78"/>
      <c r="AP572" s="77"/>
      <c r="AU572" s="78"/>
      <c r="AV572" s="64"/>
      <c r="AX572" s="78"/>
      <c r="AY572" s="13"/>
    </row>
    <row r="573" spans="1:51" x14ac:dyDescent="0.2">
      <c r="A573" s="34">
        <v>44601</v>
      </c>
      <c r="B573" s="35" t="s">
        <v>364</v>
      </c>
      <c r="C573" s="54">
        <v>182</v>
      </c>
      <c r="D573" s="54"/>
      <c r="E573" s="44">
        <v>15000</v>
      </c>
      <c r="F573" s="44">
        <v>30540</v>
      </c>
      <c r="G573" s="56">
        <v>190</v>
      </c>
      <c r="H573" s="56">
        <v>8.5500000000000007</v>
      </c>
      <c r="I573" s="57">
        <v>8.5399999999999991</v>
      </c>
      <c r="J573" s="32">
        <f t="array" ref="J57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44782</v>
      </c>
      <c r="K573" s="59">
        <f>IFERROR(Table13[[#This Row],[Bid Accepted]]*(Table13[[#This Row],[WAYR Current]]%/364*Table13[[#This Row],[Days To Maturity]]),0)</f>
        <v>8.1225000000000005</v>
      </c>
      <c r="L573" s="41">
        <f>+Table13[[#This Row],[Bid Accepted]]-Table13[[#This Row],[Amount Offered]]</f>
        <v>-14810</v>
      </c>
      <c r="M573" s="57">
        <f>+IF(Table13[[#This Row],[WAYR Last]]&gt;0,IF(Table13[[#This Row],[WAYR Current]]&gt;0,(Table13[[#This Row],[WAYR Current]]-Table13[[#This Row],[WAYR Last]]),""),"")</f>
        <v>1.0000000000001563E-2</v>
      </c>
      <c r="O573" s="77">
        <f>+Table13[[#This Row],[Bid Received]]/Table13[[#This Row],[Amount Offered]]</f>
        <v>2.036</v>
      </c>
      <c r="P573" s="77">
        <f>+Table13[[#This Row],[Bid Accepted]]/Table13[[#This Row],[Amount Offered]]</f>
        <v>1.2666666666666666E-2</v>
      </c>
      <c r="Q573" s="77">
        <f>+Table13[[#This Row],[Bid Accepted]]/Table13[[#This Row],[Bid Received]]</f>
        <v>6.2213490504256716E-3</v>
      </c>
      <c r="AG573" s="78"/>
      <c r="AH573" s="13"/>
      <c r="AN573" s="78"/>
      <c r="AP573" s="77"/>
      <c r="AU573" s="78"/>
      <c r="AV573" s="64"/>
      <c r="AX573" s="78"/>
      <c r="AY573" s="13"/>
    </row>
    <row r="574" spans="1:51" x14ac:dyDescent="0.2">
      <c r="A574" s="34">
        <v>44601</v>
      </c>
      <c r="B574" s="35" t="s">
        <v>365</v>
      </c>
      <c r="C574" s="54">
        <v>364</v>
      </c>
      <c r="D574" s="54"/>
      <c r="E574" s="44">
        <v>25000</v>
      </c>
      <c r="F574" s="44">
        <v>26000</v>
      </c>
      <c r="G574" s="56">
        <v>110</v>
      </c>
      <c r="H574" s="56">
        <v>8.5500000000000007</v>
      </c>
      <c r="I574" s="57">
        <v>8.59</v>
      </c>
      <c r="J574" s="32">
        <f t="array" ref="J57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44966</v>
      </c>
      <c r="K574" s="59">
        <f>IFERROR(Table13[[#This Row],[Bid Accepted]]*(Table13[[#This Row],[WAYR Current]]%/364*Table13[[#This Row],[Days To Maturity]]),0)</f>
        <v>9.4050000000000011</v>
      </c>
      <c r="L574" s="41">
        <f>+Table13[[#This Row],[Bid Accepted]]-Table13[[#This Row],[Amount Offered]]</f>
        <v>-24890</v>
      </c>
      <c r="M574" s="57">
        <f>+IF(Table13[[#This Row],[WAYR Last]]&gt;0,IF(Table13[[#This Row],[WAYR Current]]&gt;0,(Table13[[#This Row],[WAYR Current]]-Table13[[#This Row],[WAYR Last]]),""),"")</f>
        <v>-3.9999999999999147E-2</v>
      </c>
      <c r="O574" s="77">
        <f>+Table13[[#This Row],[Bid Received]]/Table13[[#This Row],[Amount Offered]]</f>
        <v>1.04</v>
      </c>
      <c r="P574" s="77">
        <f>+Table13[[#This Row],[Bid Accepted]]/Table13[[#This Row],[Amount Offered]]</f>
        <v>4.4000000000000003E-3</v>
      </c>
      <c r="Q574" s="77">
        <f>+Table13[[#This Row],[Bid Accepted]]/Table13[[#This Row],[Bid Received]]</f>
        <v>4.2307692307692307E-3</v>
      </c>
      <c r="AG574" s="78"/>
      <c r="AH574" s="13"/>
      <c r="AN574" s="78"/>
      <c r="AP574" s="77"/>
      <c r="AU574" s="78"/>
      <c r="AV574" s="64"/>
      <c r="AX574" s="78"/>
      <c r="AY574" s="13"/>
    </row>
    <row r="575" spans="1:51" x14ac:dyDescent="0.2">
      <c r="A575" s="34">
        <v>44607</v>
      </c>
      <c r="B575" s="35" t="s">
        <v>366</v>
      </c>
      <c r="C575" s="54">
        <v>91</v>
      </c>
      <c r="D575" s="54"/>
      <c r="E575" s="44">
        <v>39000</v>
      </c>
      <c r="F575" s="44">
        <v>111588</v>
      </c>
      <c r="G575" s="56">
        <v>77485</v>
      </c>
      <c r="H575" s="56">
        <v>8.5</v>
      </c>
      <c r="I575" s="57">
        <v>8.52</v>
      </c>
      <c r="J575" s="32">
        <f t="array" ref="J57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44696</v>
      </c>
      <c r="K575" s="59">
        <f>IFERROR(Table13[[#This Row],[Bid Accepted]]*(Table13[[#This Row],[WAYR Current]]%/364*Table13[[#This Row],[Days To Maturity]]),0)</f>
        <v>1646.5562500000001</v>
      </c>
      <c r="L575" s="41">
        <f>+Table13[[#This Row],[Bid Accepted]]-Table13[[#This Row],[Amount Offered]]</f>
        <v>38485</v>
      </c>
      <c r="M575" s="57">
        <f>+IF(Table13[[#This Row],[WAYR Last]]&gt;0,IF(Table13[[#This Row],[WAYR Current]]&gt;0,(Table13[[#This Row],[WAYR Current]]-Table13[[#This Row],[WAYR Last]]),""),"")</f>
        <v>-1.9999999999999574E-2</v>
      </c>
      <c r="O575" s="77">
        <f>+Table13[[#This Row],[Bid Received]]/Table13[[#This Row],[Amount Offered]]</f>
        <v>2.8612307692307692</v>
      </c>
      <c r="P575" s="77">
        <f>+Table13[[#This Row],[Bid Accepted]]/Table13[[#This Row],[Amount Offered]]</f>
        <v>1.9867948717948718</v>
      </c>
      <c r="Q575" s="77">
        <f>+Table13[[#This Row],[Bid Accepted]]/Table13[[#This Row],[Bid Received]]</f>
        <v>0.69438470086389215</v>
      </c>
      <c r="AG575" s="78"/>
      <c r="AH575" s="13"/>
      <c r="AN575" s="78"/>
      <c r="AP575" s="77"/>
      <c r="AU575" s="78"/>
      <c r="AV575" s="64"/>
      <c r="AX575" s="78"/>
      <c r="AY575" s="13"/>
    </row>
    <row r="576" spans="1:51" x14ac:dyDescent="0.2">
      <c r="A576" s="34">
        <v>44607</v>
      </c>
      <c r="B576" s="35" t="s">
        <v>367</v>
      </c>
      <c r="C576" s="54">
        <v>182</v>
      </c>
      <c r="D576" s="54"/>
      <c r="E576" s="44">
        <v>15000</v>
      </c>
      <c r="F576" s="44">
        <v>17155</v>
      </c>
      <c r="G576" s="56">
        <v>1265</v>
      </c>
      <c r="H576" s="56">
        <v>8.5399999999999991</v>
      </c>
      <c r="I576" s="57">
        <v>8.5399999999999991</v>
      </c>
      <c r="J576" s="32">
        <f t="array" ref="J57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44788</v>
      </c>
      <c r="K576" s="59">
        <f>IFERROR(Table13[[#This Row],[Bid Accepted]]*(Table13[[#This Row],[WAYR Current]]%/364*Table13[[#This Row],[Days To Maturity]]),0)</f>
        <v>54.015499999999996</v>
      </c>
      <c r="L576" s="41">
        <f>+Table13[[#This Row],[Bid Accepted]]-Table13[[#This Row],[Amount Offered]]</f>
        <v>-13735</v>
      </c>
      <c r="M576" s="57">
        <f>+IF(Table13[[#This Row],[WAYR Last]]&gt;0,IF(Table13[[#This Row],[WAYR Current]]&gt;0,(Table13[[#This Row],[WAYR Current]]-Table13[[#This Row],[WAYR Last]]),""),"")</f>
        <v>0</v>
      </c>
      <c r="O576" s="77">
        <f>+Table13[[#This Row],[Bid Received]]/Table13[[#This Row],[Amount Offered]]</f>
        <v>1.1436666666666666</v>
      </c>
      <c r="P576" s="77">
        <f>+Table13[[#This Row],[Bid Accepted]]/Table13[[#This Row],[Amount Offered]]</f>
        <v>8.433333333333333E-2</v>
      </c>
      <c r="Q576" s="77">
        <f>+Table13[[#This Row],[Bid Accepted]]/Table13[[#This Row],[Bid Received]]</f>
        <v>7.3739434567181586E-2</v>
      </c>
      <c r="AG576" s="78"/>
      <c r="AH576" s="13"/>
      <c r="AN576" s="78"/>
      <c r="AP576" s="77"/>
      <c r="AU576" s="78"/>
      <c r="AV576" s="64"/>
      <c r="AX576" s="78"/>
      <c r="AY576" s="13"/>
    </row>
    <row r="577" spans="1:51" x14ac:dyDescent="0.2">
      <c r="A577" s="34">
        <v>44607</v>
      </c>
      <c r="B577" s="35" t="s">
        <v>368</v>
      </c>
      <c r="C577" s="54">
        <v>364</v>
      </c>
      <c r="D577" s="54"/>
      <c r="E577" s="44">
        <v>25000</v>
      </c>
      <c r="F577" s="44">
        <v>25530</v>
      </c>
      <c r="G577" s="56">
        <v>250</v>
      </c>
      <c r="H577" s="56">
        <v>8.57</v>
      </c>
      <c r="I577" s="57">
        <v>8.59</v>
      </c>
      <c r="J577" s="32">
        <f t="array" ref="J57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44972</v>
      </c>
      <c r="K577" s="59">
        <f>IFERROR(Table13[[#This Row],[Bid Accepted]]*(Table13[[#This Row],[WAYR Current]]%/364*Table13[[#This Row],[Days To Maturity]]),0)</f>
        <v>21.425000000000001</v>
      </c>
      <c r="L577" s="41">
        <f>+Table13[[#This Row],[Bid Accepted]]-Table13[[#This Row],[Amount Offered]]</f>
        <v>-24750</v>
      </c>
      <c r="M577" s="57">
        <f>+IF(Table13[[#This Row],[WAYR Last]]&gt;0,IF(Table13[[#This Row],[WAYR Current]]&gt;0,(Table13[[#This Row],[WAYR Current]]-Table13[[#This Row],[WAYR Last]]),""),"")</f>
        <v>-1.9999999999999574E-2</v>
      </c>
      <c r="O577" s="77">
        <f>+Table13[[#This Row],[Bid Received]]/Table13[[#This Row],[Amount Offered]]</f>
        <v>1.0212000000000001</v>
      </c>
      <c r="P577" s="77">
        <f>+Table13[[#This Row],[Bid Accepted]]/Table13[[#This Row],[Amount Offered]]</f>
        <v>0.01</v>
      </c>
      <c r="Q577" s="77">
        <f>+Table13[[#This Row],[Bid Accepted]]/Table13[[#This Row],[Bid Received]]</f>
        <v>9.7924010967489223E-3</v>
      </c>
      <c r="AG577" s="78"/>
      <c r="AH577" s="13"/>
      <c r="AN577" s="78"/>
      <c r="AP577" s="77"/>
      <c r="AU577" s="78"/>
      <c r="AV577" s="64"/>
      <c r="AX577" s="78"/>
      <c r="AY577" s="13"/>
    </row>
    <row r="578" spans="1:51" x14ac:dyDescent="0.2">
      <c r="A578" s="34">
        <v>44615</v>
      </c>
      <c r="B578" s="35" t="s">
        <v>369</v>
      </c>
      <c r="C578" s="54">
        <v>91</v>
      </c>
      <c r="D578" s="54"/>
      <c r="E578" s="44">
        <v>30000</v>
      </c>
      <c r="F578" s="44">
        <v>89305</v>
      </c>
      <c r="G578" s="56">
        <v>64278</v>
      </c>
      <c r="H578" s="56">
        <v>8.61</v>
      </c>
      <c r="I578" s="57">
        <v>8.5</v>
      </c>
      <c r="J578" s="32">
        <f t="array" ref="J57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44704</v>
      </c>
      <c r="K578" s="59">
        <f>IFERROR(Table13[[#This Row],[Bid Accepted]]*(Table13[[#This Row],[WAYR Current]]%/364*Table13[[#This Row],[Days To Maturity]]),0)</f>
        <v>1383.58395</v>
      </c>
      <c r="L578" s="41">
        <f>+Table13[[#This Row],[Bid Accepted]]-Table13[[#This Row],[Amount Offered]]</f>
        <v>34278</v>
      </c>
      <c r="M578" s="57">
        <f>+IF(Table13[[#This Row],[WAYR Last]]&gt;0,IF(Table13[[#This Row],[WAYR Current]]&gt;0,(Table13[[#This Row],[WAYR Current]]-Table13[[#This Row],[WAYR Last]]),""),"")</f>
        <v>0.10999999999999943</v>
      </c>
      <c r="O578" s="77">
        <f>+Table13[[#This Row],[Bid Received]]/Table13[[#This Row],[Amount Offered]]</f>
        <v>2.9768333333333334</v>
      </c>
      <c r="P578" s="77">
        <f>+Table13[[#This Row],[Bid Accepted]]/Table13[[#This Row],[Amount Offered]]</f>
        <v>2.1425999999999998</v>
      </c>
      <c r="Q578" s="77">
        <f>+Table13[[#This Row],[Bid Accepted]]/Table13[[#This Row],[Bid Received]]</f>
        <v>0.71975813224343543</v>
      </c>
      <c r="AG578" s="78"/>
      <c r="AH578" s="13"/>
      <c r="AN578" s="78"/>
      <c r="AP578" s="77"/>
      <c r="AU578" s="78"/>
      <c r="AV578" s="64"/>
      <c r="AX578" s="78"/>
      <c r="AY578" s="13"/>
    </row>
    <row r="579" spans="1:51" x14ac:dyDescent="0.2">
      <c r="A579" s="34">
        <v>44615</v>
      </c>
      <c r="B579" s="35" t="s">
        <v>370</v>
      </c>
      <c r="C579" s="54">
        <v>182</v>
      </c>
      <c r="D579" s="54"/>
      <c r="E579" s="44">
        <v>25000</v>
      </c>
      <c r="F579" s="44">
        <v>25090</v>
      </c>
      <c r="G579" s="56">
        <v>245</v>
      </c>
      <c r="H579" s="56">
        <v>8.5299999999999994</v>
      </c>
      <c r="I579" s="57">
        <v>8.5399999999999991</v>
      </c>
      <c r="J579" s="32">
        <f t="array" ref="J57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44796</v>
      </c>
      <c r="K579" s="59">
        <f>IFERROR(Table13[[#This Row],[Bid Accepted]]*(Table13[[#This Row],[WAYR Current]]%/364*Table13[[#This Row],[Days To Maturity]]),0)</f>
        <v>10.449249999999999</v>
      </c>
      <c r="L579" s="41">
        <f>+Table13[[#This Row],[Bid Accepted]]-Table13[[#This Row],[Amount Offered]]</f>
        <v>-24755</v>
      </c>
      <c r="M579" s="57">
        <f>+IF(Table13[[#This Row],[WAYR Last]]&gt;0,IF(Table13[[#This Row],[WAYR Current]]&gt;0,(Table13[[#This Row],[WAYR Current]]-Table13[[#This Row],[WAYR Last]]),""),"")</f>
        <v>-9.9999999999997868E-3</v>
      </c>
      <c r="O579" s="77">
        <f>+Table13[[#This Row],[Bid Received]]/Table13[[#This Row],[Amount Offered]]</f>
        <v>1.0036</v>
      </c>
      <c r="P579" s="77">
        <f>+Table13[[#This Row],[Bid Accepted]]/Table13[[#This Row],[Amount Offered]]</f>
        <v>9.7999999999999997E-3</v>
      </c>
      <c r="Q579" s="77">
        <f>+Table13[[#This Row],[Bid Accepted]]/Table13[[#This Row],[Bid Received]]</f>
        <v>9.7648465524113187E-3</v>
      </c>
      <c r="AG579" s="78"/>
      <c r="AH579" s="13"/>
      <c r="AN579" s="78"/>
      <c r="AP579" s="77"/>
      <c r="AU579" s="78"/>
      <c r="AV579" s="64"/>
      <c r="AX579" s="78"/>
      <c r="AY579" s="13"/>
    </row>
    <row r="580" spans="1:51" x14ac:dyDescent="0.2">
      <c r="A580" s="34">
        <v>44615</v>
      </c>
      <c r="B580" s="35" t="s">
        <v>371</v>
      </c>
      <c r="C580" s="54">
        <v>364</v>
      </c>
      <c r="D580" s="54"/>
      <c r="E580" s="44">
        <v>25000</v>
      </c>
      <c r="F580" s="44">
        <v>25523</v>
      </c>
      <c r="G580" s="56">
        <v>33</v>
      </c>
      <c r="H580" s="56">
        <v>8.5299999999999994</v>
      </c>
      <c r="I580" s="57">
        <v>8.57</v>
      </c>
      <c r="J580" s="32">
        <f t="array" ref="J58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44980</v>
      </c>
      <c r="K580" s="59">
        <f>IFERROR(Table13[[#This Row],[Bid Accepted]]*(Table13[[#This Row],[WAYR Current]]%/364*Table13[[#This Row],[Days To Maturity]]),0)</f>
        <v>2.8148999999999997</v>
      </c>
      <c r="L580" s="41">
        <f>+Table13[[#This Row],[Bid Accepted]]-Table13[[#This Row],[Amount Offered]]</f>
        <v>-24967</v>
      </c>
      <c r="M580" s="57">
        <f>+IF(Table13[[#This Row],[WAYR Last]]&gt;0,IF(Table13[[#This Row],[WAYR Current]]&gt;0,(Table13[[#This Row],[WAYR Current]]-Table13[[#This Row],[WAYR Last]]),""),"")</f>
        <v>-4.0000000000000924E-2</v>
      </c>
      <c r="O580" s="77">
        <f>+Table13[[#This Row],[Bid Received]]/Table13[[#This Row],[Amount Offered]]</f>
        <v>1.02092</v>
      </c>
      <c r="P580" s="77">
        <f>+Table13[[#This Row],[Bid Accepted]]/Table13[[#This Row],[Amount Offered]]</f>
        <v>1.32E-3</v>
      </c>
      <c r="Q580" s="77">
        <f>+Table13[[#This Row],[Bid Accepted]]/Table13[[#This Row],[Bid Received]]</f>
        <v>1.2929514555498961E-3</v>
      </c>
      <c r="AG580" s="78"/>
      <c r="AH580" s="13"/>
      <c r="AN580" s="78"/>
      <c r="AP580" s="77"/>
      <c r="AU580" s="78"/>
      <c r="AV580" s="64"/>
      <c r="AX580" s="78"/>
      <c r="AY580" s="13"/>
    </row>
    <row r="581" spans="1:51" x14ac:dyDescent="0.2">
      <c r="A581" s="34">
        <v>44622</v>
      </c>
      <c r="B581" s="35" t="s">
        <v>372</v>
      </c>
      <c r="C581" s="54">
        <v>91</v>
      </c>
      <c r="D581" s="54"/>
      <c r="E581" s="44">
        <v>20000</v>
      </c>
      <c r="F581" s="44">
        <v>37027</v>
      </c>
      <c r="G581" s="56">
        <v>30327</v>
      </c>
      <c r="H581" s="56">
        <v>9.33</v>
      </c>
      <c r="I581" s="57">
        <v>8.61</v>
      </c>
      <c r="J581" s="32">
        <f t="array" ref="J58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44714</v>
      </c>
      <c r="K581" s="59">
        <f>IFERROR(Table13[[#This Row],[Bid Accepted]]*(Table13[[#This Row],[WAYR Current]]%/364*Table13[[#This Row],[Days To Maturity]]),0)</f>
        <v>707.37727499999983</v>
      </c>
      <c r="L581" s="41">
        <f>+Table13[[#This Row],[Bid Accepted]]-Table13[[#This Row],[Amount Offered]]</f>
        <v>10327</v>
      </c>
      <c r="M581" s="57">
        <f>+IF(Table13[[#This Row],[WAYR Last]]&gt;0,IF(Table13[[#This Row],[WAYR Current]]&gt;0,(Table13[[#This Row],[WAYR Current]]-Table13[[#This Row],[WAYR Last]]),""),"")</f>
        <v>0.72000000000000064</v>
      </c>
      <c r="O581" s="77">
        <f>+Table13[[#This Row],[Bid Received]]/Table13[[#This Row],[Amount Offered]]</f>
        <v>1.8513500000000001</v>
      </c>
      <c r="P581" s="77">
        <f>+Table13[[#This Row],[Bid Accepted]]/Table13[[#This Row],[Amount Offered]]</f>
        <v>1.5163500000000001</v>
      </c>
      <c r="Q581" s="77">
        <f>+Table13[[#This Row],[Bid Accepted]]/Table13[[#This Row],[Bid Received]]</f>
        <v>0.81905096281092171</v>
      </c>
      <c r="AG581" s="78"/>
      <c r="AH581" s="13"/>
      <c r="AN581" s="78"/>
      <c r="AP581" s="77"/>
      <c r="AU581" s="78"/>
      <c r="AV581" s="64"/>
      <c r="AX581" s="78"/>
      <c r="AY581" s="13"/>
    </row>
    <row r="582" spans="1:51" x14ac:dyDescent="0.2">
      <c r="A582" s="34">
        <v>44622</v>
      </c>
      <c r="B582" s="35" t="s">
        <v>373</v>
      </c>
      <c r="C582" s="54">
        <v>182</v>
      </c>
      <c r="D582" s="54"/>
      <c r="E582" s="44">
        <v>20000</v>
      </c>
      <c r="F582" s="44">
        <v>20056</v>
      </c>
      <c r="G582" s="56">
        <v>4056</v>
      </c>
      <c r="H582" s="56">
        <v>9.8800000000000008</v>
      </c>
      <c r="I582" s="57">
        <v>8.5299999999999994</v>
      </c>
      <c r="J582" s="32">
        <f t="array" ref="J58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44806</v>
      </c>
      <c r="K582" s="59">
        <f>IFERROR(Table13[[#This Row],[Bid Accepted]]*(Table13[[#This Row],[WAYR Current]]%/364*Table13[[#This Row],[Days To Maturity]]),0)</f>
        <v>200.3664</v>
      </c>
      <c r="L582" s="41">
        <f>+Table13[[#This Row],[Bid Accepted]]-Table13[[#This Row],[Amount Offered]]</f>
        <v>-15944</v>
      </c>
      <c r="M582" s="57">
        <f>+IF(Table13[[#This Row],[WAYR Last]]&gt;0,IF(Table13[[#This Row],[WAYR Current]]&gt;0,(Table13[[#This Row],[WAYR Current]]-Table13[[#This Row],[WAYR Last]]),""),"")</f>
        <v>1.3500000000000014</v>
      </c>
      <c r="O582" s="77">
        <f>+Table13[[#This Row],[Bid Received]]/Table13[[#This Row],[Amount Offered]]</f>
        <v>1.0027999999999999</v>
      </c>
      <c r="P582" s="77">
        <f>+Table13[[#This Row],[Bid Accepted]]/Table13[[#This Row],[Amount Offered]]</f>
        <v>0.20280000000000001</v>
      </c>
      <c r="Q582" s="77">
        <f>+Table13[[#This Row],[Bid Accepted]]/Table13[[#This Row],[Bid Received]]</f>
        <v>0.20223374551256482</v>
      </c>
      <c r="AG582" s="78"/>
      <c r="AH582" s="13"/>
      <c r="AN582" s="78"/>
      <c r="AP582" s="77"/>
      <c r="AU582" s="78"/>
      <c r="AV582" s="64"/>
      <c r="AX582" s="78"/>
      <c r="AY582" s="13"/>
    </row>
    <row r="583" spans="1:51" x14ac:dyDescent="0.2">
      <c r="A583" s="34">
        <v>44622</v>
      </c>
      <c r="B583" s="35" t="s">
        <v>374</v>
      </c>
      <c r="C583" s="54">
        <v>364</v>
      </c>
      <c r="D583" s="54"/>
      <c r="E583" s="44">
        <v>15000</v>
      </c>
      <c r="F583" s="44">
        <v>15256</v>
      </c>
      <c r="G583" s="56">
        <v>1570</v>
      </c>
      <c r="H583" s="56">
        <v>9.9499999999999993</v>
      </c>
      <c r="I583" s="57">
        <v>8.5299999999999994</v>
      </c>
      <c r="J583" s="32">
        <f t="array" ref="J58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44987</v>
      </c>
      <c r="K583" s="59">
        <f>IFERROR(Table13[[#This Row],[Bid Accepted]]*(Table13[[#This Row],[WAYR Current]]%/364*Table13[[#This Row],[Days To Maturity]]),0)</f>
        <v>156.21499999999997</v>
      </c>
      <c r="L583" s="41">
        <f>+Table13[[#This Row],[Bid Accepted]]-Table13[[#This Row],[Amount Offered]]</f>
        <v>-13430</v>
      </c>
      <c r="M583" s="57">
        <f>+IF(Table13[[#This Row],[WAYR Last]]&gt;0,IF(Table13[[#This Row],[WAYR Current]]&gt;0,(Table13[[#This Row],[WAYR Current]]-Table13[[#This Row],[WAYR Last]]),""),"")</f>
        <v>1.42</v>
      </c>
      <c r="O583" s="77">
        <f>+Table13[[#This Row],[Bid Received]]/Table13[[#This Row],[Amount Offered]]</f>
        <v>1.0170666666666666</v>
      </c>
      <c r="P583" s="77">
        <f>+Table13[[#This Row],[Bid Accepted]]/Table13[[#This Row],[Amount Offered]]</f>
        <v>0.10466666666666667</v>
      </c>
      <c r="Q583" s="77">
        <f>+Table13[[#This Row],[Bid Accepted]]/Table13[[#This Row],[Bid Received]]</f>
        <v>0.10291033036182486</v>
      </c>
      <c r="AG583" s="78"/>
      <c r="AH583" s="13"/>
      <c r="AN583" s="78"/>
      <c r="AP583" s="77"/>
      <c r="AU583" s="78"/>
      <c r="AV583" s="64"/>
      <c r="AX583" s="78"/>
      <c r="AY583" s="13"/>
    </row>
    <row r="584" spans="1:51" x14ac:dyDescent="0.2">
      <c r="A584" s="34">
        <v>44629</v>
      </c>
      <c r="B584" s="35" t="s">
        <v>375</v>
      </c>
      <c r="C584" s="54">
        <v>91</v>
      </c>
      <c r="D584" s="54"/>
      <c r="E584" s="44">
        <v>20000</v>
      </c>
      <c r="F584" s="44">
        <v>79439</v>
      </c>
      <c r="G584" s="56">
        <v>59375</v>
      </c>
      <c r="H584" s="56">
        <v>10.29</v>
      </c>
      <c r="I584" s="57">
        <v>9.33</v>
      </c>
      <c r="J584" s="32">
        <f t="array" ref="J58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44721</v>
      </c>
      <c r="K584" s="59">
        <f>IFERROR(Table13[[#This Row],[Bid Accepted]]*(Table13[[#This Row],[WAYR Current]]%/364*Table13[[#This Row],[Days To Maturity]]),0)</f>
        <v>1527.421875</v>
      </c>
      <c r="L584" s="41">
        <f>+Table13[[#This Row],[Bid Accepted]]-Table13[[#This Row],[Amount Offered]]</f>
        <v>39375</v>
      </c>
      <c r="M584" s="57">
        <f>+IF(Table13[[#This Row],[WAYR Last]]&gt;0,IF(Table13[[#This Row],[WAYR Current]]&gt;0,(Table13[[#This Row],[WAYR Current]]-Table13[[#This Row],[WAYR Last]]),""),"")</f>
        <v>0.95999999999999908</v>
      </c>
      <c r="O584" s="77">
        <f>+Table13[[#This Row],[Bid Received]]/Table13[[#This Row],[Amount Offered]]</f>
        <v>3.9719500000000001</v>
      </c>
      <c r="P584" s="77">
        <f>+Table13[[#This Row],[Bid Accepted]]/Table13[[#This Row],[Amount Offered]]</f>
        <v>2.96875</v>
      </c>
      <c r="Q584" s="77">
        <f>+Table13[[#This Row],[Bid Accepted]]/Table13[[#This Row],[Bid Received]]</f>
        <v>0.74742884477397753</v>
      </c>
      <c r="AG584" s="78"/>
      <c r="AH584" s="13"/>
      <c r="AN584" s="78"/>
      <c r="AP584" s="77"/>
      <c r="AU584" s="78"/>
      <c r="AV584" s="64"/>
      <c r="AX584" s="78"/>
      <c r="AY584" s="13"/>
    </row>
    <row r="585" spans="1:51" x14ac:dyDescent="0.2">
      <c r="A585" s="34">
        <v>44629</v>
      </c>
      <c r="B585" s="35" t="s">
        <v>376</v>
      </c>
      <c r="C585" s="54">
        <v>182</v>
      </c>
      <c r="D585" s="54"/>
      <c r="E585" s="44">
        <v>20000</v>
      </c>
      <c r="F585" s="44">
        <v>20250</v>
      </c>
      <c r="G585" s="56">
        <v>300</v>
      </c>
      <c r="H585" s="56">
        <v>10.48</v>
      </c>
      <c r="I585" s="57">
        <v>9.8800000000000008</v>
      </c>
      <c r="J585" s="32">
        <f t="array" ref="J58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44813</v>
      </c>
      <c r="K585" s="59">
        <f>IFERROR(Table13[[#This Row],[Bid Accepted]]*(Table13[[#This Row],[WAYR Current]]%/364*Table13[[#This Row],[Days To Maturity]]),0)</f>
        <v>15.72</v>
      </c>
      <c r="L585" s="41">
        <f>+Table13[[#This Row],[Bid Accepted]]-Table13[[#This Row],[Amount Offered]]</f>
        <v>-19700</v>
      </c>
      <c r="M585" s="57">
        <f>+IF(Table13[[#This Row],[WAYR Last]]&gt;0,IF(Table13[[#This Row],[WAYR Current]]&gt;0,(Table13[[#This Row],[WAYR Current]]-Table13[[#This Row],[WAYR Last]]),""),"")</f>
        <v>0.59999999999999964</v>
      </c>
      <c r="O585" s="77">
        <f>+Table13[[#This Row],[Bid Received]]/Table13[[#This Row],[Amount Offered]]</f>
        <v>1.0125</v>
      </c>
      <c r="P585" s="77">
        <f>+Table13[[#This Row],[Bid Accepted]]/Table13[[#This Row],[Amount Offered]]</f>
        <v>1.4999999999999999E-2</v>
      </c>
      <c r="Q585" s="77">
        <f>+Table13[[#This Row],[Bid Accepted]]/Table13[[#This Row],[Bid Received]]</f>
        <v>1.4814814814814815E-2</v>
      </c>
      <c r="AG585" s="78"/>
      <c r="AH585" s="13"/>
      <c r="AN585" s="78"/>
      <c r="AP585" s="77"/>
      <c r="AU585" s="78"/>
      <c r="AV585" s="64"/>
      <c r="AX585" s="78"/>
      <c r="AY585" s="13"/>
    </row>
    <row r="586" spans="1:51" x14ac:dyDescent="0.2">
      <c r="A586" s="34">
        <v>44629</v>
      </c>
      <c r="B586" s="35" t="s">
        <v>377</v>
      </c>
      <c r="C586" s="54">
        <v>364</v>
      </c>
      <c r="D586" s="54"/>
      <c r="E586" s="44">
        <v>20000</v>
      </c>
      <c r="F586" s="44">
        <v>20780</v>
      </c>
      <c r="G586" s="56">
        <v>325</v>
      </c>
      <c r="H586" s="56">
        <v>10.66</v>
      </c>
      <c r="I586" s="57">
        <v>9.9499999999999993</v>
      </c>
      <c r="J586" s="32">
        <f t="array" ref="J58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44994</v>
      </c>
      <c r="K586" s="59">
        <f>IFERROR(Table13[[#This Row],[Bid Accepted]]*(Table13[[#This Row],[WAYR Current]]%/364*Table13[[#This Row],[Days To Maturity]]),0)</f>
        <v>34.645000000000003</v>
      </c>
      <c r="L586" s="41">
        <f>+Table13[[#This Row],[Bid Accepted]]-Table13[[#This Row],[Amount Offered]]</f>
        <v>-19675</v>
      </c>
      <c r="M586" s="57">
        <f>+IF(Table13[[#This Row],[WAYR Last]]&gt;0,IF(Table13[[#This Row],[WAYR Current]]&gt;0,(Table13[[#This Row],[WAYR Current]]-Table13[[#This Row],[WAYR Last]]),""),"")</f>
        <v>0.71000000000000085</v>
      </c>
      <c r="O586" s="77">
        <f>+Table13[[#This Row],[Bid Received]]/Table13[[#This Row],[Amount Offered]]</f>
        <v>1.0389999999999999</v>
      </c>
      <c r="P586" s="77">
        <f>+Table13[[#This Row],[Bid Accepted]]/Table13[[#This Row],[Amount Offered]]</f>
        <v>1.6250000000000001E-2</v>
      </c>
      <c r="Q586" s="77">
        <f>+Table13[[#This Row],[Bid Accepted]]/Table13[[#This Row],[Bid Received]]</f>
        <v>1.5640038498556306E-2</v>
      </c>
      <c r="AG586" s="78"/>
      <c r="AH586" s="13"/>
      <c r="AN586" s="78"/>
      <c r="AP586" s="77"/>
      <c r="AU586" s="78"/>
      <c r="AV586" s="64"/>
      <c r="AX586" s="78"/>
      <c r="AY586" s="13"/>
    </row>
    <row r="587" spans="1:51" x14ac:dyDescent="0.2">
      <c r="A587" s="34">
        <v>44635</v>
      </c>
      <c r="B587" s="35" t="s">
        <v>378</v>
      </c>
      <c r="C587" s="54">
        <v>91</v>
      </c>
      <c r="D587" s="54"/>
      <c r="E587" s="44">
        <v>20000</v>
      </c>
      <c r="F587" s="44">
        <v>76629</v>
      </c>
      <c r="G587" s="56">
        <v>54808</v>
      </c>
      <c r="H587" s="56">
        <v>11.35</v>
      </c>
      <c r="I587" s="57">
        <v>10.29</v>
      </c>
      <c r="J587" s="32">
        <f t="array" ref="J58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44727</v>
      </c>
      <c r="K587" s="59">
        <f>IFERROR(Table13[[#This Row],[Bid Accepted]]*(Table13[[#This Row],[WAYR Current]]%/364*Table13[[#This Row],[Days To Maturity]]),0)</f>
        <v>1555.1770000000001</v>
      </c>
      <c r="L587" s="41">
        <f>+Table13[[#This Row],[Bid Accepted]]-Table13[[#This Row],[Amount Offered]]</f>
        <v>34808</v>
      </c>
      <c r="M587" s="57">
        <f>+IF(Table13[[#This Row],[WAYR Last]]&gt;0,IF(Table13[[#This Row],[WAYR Current]]&gt;0,(Table13[[#This Row],[WAYR Current]]-Table13[[#This Row],[WAYR Last]]),""),"")</f>
        <v>1.0600000000000005</v>
      </c>
      <c r="O587" s="77">
        <f>+Table13[[#This Row],[Bid Received]]/Table13[[#This Row],[Amount Offered]]</f>
        <v>3.8314499999999998</v>
      </c>
      <c r="P587" s="77">
        <f>+Table13[[#This Row],[Bid Accepted]]/Table13[[#This Row],[Amount Offered]]</f>
        <v>2.7404000000000002</v>
      </c>
      <c r="Q587" s="77">
        <f>+Table13[[#This Row],[Bid Accepted]]/Table13[[#This Row],[Bid Received]]</f>
        <v>0.71523835623588983</v>
      </c>
      <c r="AG587" s="78"/>
      <c r="AH587" s="13"/>
      <c r="AN587" s="78"/>
      <c r="AP587" s="77"/>
      <c r="AU587" s="78"/>
      <c r="AV587" s="64"/>
      <c r="AX587" s="78"/>
      <c r="AY587" s="13"/>
    </row>
    <row r="588" spans="1:51" x14ac:dyDescent="0.2">
      <c r="A588" s="34">
        <v>44635</v>
      </c>
      <c r="B588" s="35" t="s">
        <v>379</v>
      </c>
      <c r="C588" s="54">
        <v>182</v>
      </c>
      <c r="D588" s="54"/>
      <c r="E588" s="44">
        <v>20000</v>
      </c>
      <c r="F588" s="44">
        <v>21215</v>
      </c>
      <c r="G588" s="56">
        <v>20</v>
      </c>
      <c r="H588" s="56">
        <v>11.05</v>
      </c>
      <c r="I588" s="57">
        <v>10.48</v>
      </c>
      <c r="J588" s="32">
        <f t="array" ref="J58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44819</v>
      </c>
      <c r="K588" s="59">
        <f>IFERROR(Table13[[#This Row],[Bid Accepted]]*(Table13[[#This Row],[WAYR Current]]%/364*Table13[[#This Row],[Days To Maturity]]),0)</f>
        <v>1.1050000000000002</v>
      </c>
      <c r="L588" s="41">
        <f>+Table13[[#This Row],[Bid Accepted]]-Table13[[#This Row],[Amount Offered]]</f>
        <v>-19980</v>
      </c>
      <c r="M588" s="57">
        <f>+IF(Table13[[#This Row],[WAYR Last]]&gt;0,IF(Table13[[#This Row],[WAYR Current]]&gt;0,(Table13[[#This Row],[WAYR Current]]-Table13[[#This Row],[WAYR Last]]),""),"")</f>
        <v>0.57000000000000028</v>
      </c>
      <c r="O588" s="77">
        <f>+Table13[[#This Row],[Bid Received]]/Table13[[#This Row],[Amount Offered]]</f>
        <v>1.0607500000000001</v>
      </c>
      <c r="P588" s="77">
        <f>+Table13[[#This Row],[Bid Accepted]]/Table13[[#This Row],[Amount Offered]]</f>
        <v>1E-3</v>
      </c>
      <c r="Q588" s="77">
        <f>+Table13[[#This Row],[Bid Accepted]]/Table13[[#This Row],[Bid Received]]</f>
        <v>9.4272920103700216E-4</v>
      </c>
      <c r="AG588" s="78"/>
      <c r="AH588" s="13"/>
      <c r="AN588" s="78"/>
      <c r="AP588" s="77"/>
      <c r="AU588" s="78"/>
      <c r="AV588" s="64"/>
      <c r="AX588" s="78"/>
      <c r="AY588" s="13"/>
    </row>
    <row r="589" spans="1:51" x14ac:dyDescent="0.2">
      <c r="A589" s="34">
        <v>44635</v>
      </c>
      <c r="B589" s="35" t="s">
        <v>380</v>
      </c>
      <c r="C589" s="54">
        <v>364</v>
      </c>
      <c r="D589" s="54"/>
      <c r="E589" s="44">
        <v>20000</v>
      </c>
      <c r="F589" s="44">
        <v>21350</v>
      </c>
      <c r="G589" s="56">
        <v>10</v>
      </c>
      <c r="H589" s="56">
        <v>11.15</v>
      </c>
      <c r="I589" s="57">
        <v>10.66</v>
      </c>
      <c r="J589" s="32">
        <f t="array" ref="J589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45000</v>
      </c>
      <c r="K589" s="59">
        <f>IFERROR(Table13[[#This Row],[Bid Accepted]]*(Table13[[#This Row],[WAYR Current]]%/364*Table13[[#This Row],[Days To Maturity]]),0)</f>
        <v>1.1149999999999998</v>
      </c>
      <c r="L589" s="41">
        <f>+Table13[[#This Row],[Bid Accepted]]-Table13[[#This Row],[Amount Offered]]</f>
        <v>-19990</v>
      </c>
      <c r="M589" s="57">
        <f>+IF(Table13[[#This Row],[WAYR Last]]&gt;0,IF(Table13[[#This Row],[WAYR Current]]&gt;0,(Table13[[#This Row],[WAYR Current]]-Table13[[#This Row],[WAYR Last]]),""),"")</f>
        <v>0.49000000000000021</v>
      </c>
      <c r="O589" s="77">
        <f>+Table13[[#This Row],[Bid Received]]/Table13[[#This Row],[Amount Offered]]</f>
        <v>1.0674999999999999</v>
      </c>
      <c r="P589" s="77">
        <f>+Table13[[#This Row],[Bid Accepted]]/Table13[[#This Row],[Amount Offered]]</f>
        <v>5.0000000000000001E-4</v>
      </c>
      <c r="Q589" s="77">
        <f>+Table13[[#This Row],[Bid Accepted]]/Table13[[#This Row],[Bid Received]]</f>
        <v>4.6838407494145199E-4</v>
      </c>
      <c r="AG589" s="78"/>
      <c r="AH589" s="13"/>
      <c r="AN589" s="78"/>
      <c r="AP589" s="77"/>
      <c r="AU589" s="78"/>
      <c r="AV589" s="64"/>
      <c r="AX589" s="78"/>
      <c r="AY589" s="13"/>
    </row>
    <row r="590" spans="1:51" x14ac:dyDescent="0.2">
      <c r="A590" s="34">
        <v>44643</v>
      </c>
      <c r="B590" s="35" t="s">
        <v>381</v>
      </c>
      <c r="C590" s="54">
        <v>91</v>
      </c>
      <c r="D590" s="54"/>
      <c r="E590" s="44">
        <v>20000</v>
      </c>
      <c r="F590" s="44">
        <v>71110</v>
      </c>
      <c r="G590" s="56">
        <v>54832</v>
      </c>
      <c r="H590" s="56">
        <v>12.1</v>
      </c>
      <c r="I590" s="57">
        <v>11.35</v>
      </c>
      <c r="J590" s="32">
        <f t="array" ref="J59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44735</v>
      </c>
      <c r="K590" s="59">
        <f>IFERROR(Table13[[#This Row],[Bid Accepted]]*(Table13[[#This Row],[WAYR Current]]%/364*Table13[[#This Row],[Days To Maturity]]),0)</f>
        <v>1658.6679999999999</v>
      </c>
      <c r="L590" s="41">
        <f>+Table13[[#This Row],[Bid Accepted]]-Table13[[#This Row],[Amount Offered]]</f>
        <v>34832</v>
      </c>
      <c r="M590" s="57">
        <f>+IF(Table13[[#This Row],[WAYR Last]]&gt;0,IF(Table13[[#This Row],[WAYR Current]]&gt;0,(Table13[[#This Row],[WAYR Current]]-Table13[[#This Row],[WAYR Last]]),""),"")</f>
        <v>0.75</v>
      </c>
      <c r="O590" s="77">
        <f>+Table13[[#This Row],[Bid Received]]/Table13[[#This Row],[Amount Offered]]</f>
        <v>3.5554999999999999</v>
      </c>
      <c r="P590" s="77">
        <f>+Table13[[#This Row],[Bid Accepted]]/Table13[[#This Row],[Amount Offered]]</f>
        <v>2.7416</v>
      </c>
      <c r="Q590" s="77">
        <f>+Table13[[#This Row],[Bid Accepted]]/Table13[[#This Row],[Bid Received]]</f>
        <v>0.77108704823512864</v>
      </c>
      <c r="AG590" s="78"/>
      <c r="AH590" s="13"/>
      <c r="AN590" s="78"/>
      <c r="AP590" s="77"/>
      <c r="AU590" s="78"/>
      <c r="AV590" s="64"/>
      <c r="AX590" s="78"/>
      <c r="AY590" s="13"/>
    </row>
    <row r="591" spans="1:51" x14ac:dyDescent="0.2">
      <c r="A591" s="34">
        <v>44643</v>
      </c>
      <c r="B591" s="35" t="s">
        <v>382</v>
      </c>
      <c r="C591" s="54">
        <v>182</v>
      </c>
      <c r="D591" s="54"/>
      <c r="E591" s="44">
        <v>15000</v>
      </c>
      <c r="F591" s="44">
        <v>15460</v>
      </c>
      <c r="G591" s="56">
        <v>503</v>
      </c>
      <c r="H591" s="56">
        <v>11.98</v>
      </c>
      <c r="I591" s="57">
        <v>11.05</v>
      </c>
      <c r="J591" s="32">
        <f t="array" ref="J59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44827</v>
      </c>
      <c r="K591" s="59">
        <f>IFERROR(Table13[[#This Row],[Bid Accepted]]*(Table13[[#This Row],[WAYR Current]]%/364*Table13[[#This Row],[Days To Maturity]]),0)</f>
        <v>30.1297</v>
      </c>
      <c r="L591" s="41">
        <f>+Table13[[#This Row],[Bid Accepted]]-Table13[[#This Row],[Amount Offered]]</f>
        <v>-14497</v>
      </c>
      <c r="M591" s="57">
        <f>+IF(Table13[[#This Row],[WAYR Last]]&gt;0,IF(Table13[[#This Row],[WAYR Current]]&gt;0,(Table13[[#This Row],[WAYR Current]]-Table13[[#This Row],[WAYR Last]]),""),"")</f>
        <v>0.92999999999999972</v>
      </c>
      <c r="O591" s="77">
        <f>+Table13[[#This Row],[Bid Received]]/Table13[[#This Row],[Amount Offered]]</f>
        <v>1.0306666666666666</v>
      </c>
      <c r="P591" s="77">
        <f>+Table13[[#This Row],[Bid Accepted]]/Table13[[#This Row],[Amount Offered]]</f>
        <v>3.3533333333333332E-2</v>
      </c>
      <c r="AG591" s="78"/>
      <c r="AH591" s="13"/>
      <c r="AN591" s="78"/>
      <c r="AP591" s="77"/>
      <c r="AU591" s="78"/>
      <c r="AV591" s="64"/>
      <c r="AX591" s="78"/>
      <c r="AY591" s="13"/>
    </row>
    <row r="592" spans="1:51" x14ac:dyDescent="0.2">
      <c r="A592" s="34">
        <v>44643</v>
      </c>
      <c r="B592" s="35" t="s">
        <v>383</v>
      </c>
      <c r="C592" s="54">
        <v>364</v>
      </c>
      <c r="D592" s="54"/>
      <c r="E592" s="44">
        <v>21500</v>
      </c>
      <c r="F592" s="44">
        <v>22704</v>
      </c>
      <c r="G592" s="56">
        <v>1165</v>
      </c>
      <c r="H592" s="56">
        <v>12</v>
      </c>
      <c r="I592" s="57">
        <v>11.15</v>
      </c>
      <c r="J592" s="32">
        <f t="array" ref="J592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45008</v>
      </c>
      <c r="K592" s="59">
        <f>IFERROR(Table13[[#This Row],[Bid Accepted]]*(Table13[[#This Row],[WAYR Current]]%/364*Table13[[#This Row],[Days To Maturity]]),0)</f>
        <v>139.79999999999998</v>
      </c>
      <c r="L592" s="41">
        <f>+Table13[[#This Row],[Bid Accepted]]-Table13[[#This Row],[Amount Offered]]</f>
        <v>-20335</v>
      </c>
      <c r="M592" s="57">
        <f>+IF(Table13[[#This Row],[WAYR Last]]&gt;0,IF(Table13[[#This Row],[WAYR Current]]&gt;0,(Table13[[#This Row],[WAYR Current]]-Table13[[#This Row],[WAYR Last]]),""),"")</f>
        <v>0.84999999999999964</v>
      </c>
      <c r="O592" s="77">
        <f>+Table13[[#This Row],[Bid Received]]/Table13[[#This Row],[Amount Offered]]</f>
        <v>1.056</v>
      </c>
      <c r="P592" s="77">
        <f>+Table13[[#This Row],[Bid Accepted]]/Table13[[#This Row],[Amount Offered]]</f>
        <v>5.4186046511627908E-2</v>
      </c>
      <c r="Q592" s="77">
        <f>+Table13[[#This Row],[Bid Accepted]]/Table13[[#This Row],[Bid Received]]</f>
        <v>5.1312544045102187E-2</v>
      </c>
      <c r="AG592" s="78"/>
      <c r="AH592" s="13"/>
      <c r="AN592" s="78"/>
      <c r="AP592" s="77"/>
      <c r="AU592" s="78"/>
      <c r="AV592" s="64"/>
      <c r="AX592" s="78"/>
      <c r="AY592" s="13"/>
    </row>
    <row r="593" spans="1:51" x14ac:dyDescent="0.2">
      <c r="A593" s="34">
        <v>44650</v>
      </c>
      <c r="B593" s="35" t="s">
        <v>384</v>
      </c>
      <c r="C593" s="54">
        <v>91</v>
      </c>
      <c r="D593" s="54"/>
      <c r="E593" s="44">
        <v>18000</v>
      </c>
      <c r="F593" s="44">
        <v>60819</v>
      </c>
      <c r="G593" s="56">
        <v>47652</v>
      </c>
      <c r="H593" s="56">
        <v>12.92</v>
      </c>
      <c r="I593" s="57">
        <v>12.1</v>
      </c>
      <c r="J593" s="32">
        <f t="array" ref="J59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44742</v>
      </c>
      <c r="K593" s="59">
        <f>IFERROR(Table13[[#This Row],[Bid Accepted]]*(Table13[[#This Row],[WAYR Current]]%/364*Table13[[#This Row],[Days To Maturity]]),0)</f>
        <v>1539.1596000000002</v>
      </c>
      <c r="L593" s="41">
        <f>+Table13[[#This Row],[Bid Accepted]]-Table13[[#This Row],[Amount Offered]]</f>
        <v>29652</v>
      </c>
      <c r="M593" s="57">
        <f>+IF(Table13[[#This Row],[WAYR Last]]&gt;0,IF(Table13[[#This Row],[WAYR Current]]&gt;0,(Table13[[#This Row],[WAYR Current]]-Table13[[#This Row],[WAYR Last]]),""),"")</f>
        <v>0.82000000000000028</v>
      </c>
      <c r="AG593" s="78"/>
      <c r="AH593" s="13"/>
      <c r="AN593" s="78"/>
      <c r="AP593" s="77"/>
      <c r="AU593" s="78"/>
      <c r="AV593" s="64"/>
      <c r="AX593" s="78"/>
      <c r="AY593" s="13"/>
    </row>
    <row r="594" spans="1:51" x14ac:dyDescent="0.2">
      <c r="A594" s="34">
        <v>44650</v>
      </c>
      <c r="B594" s="35" t="s">
        <v>385</v>
      </c>
      <c r="C594" s="54">
        <v>182</v>
      </c>
      <c r="D594" s="54"/>
      <c r="E594" s="44">
        <v>12000</v>
      </c>
      <c r="F594" s="44">
        <v>12050</v>
      </c>
      <c r="G594" s="56">
        <v>5</v>
      </c>
      <c r="H594" s="56">
        <v>12.25</v>
      </c>
      <c r="I594" s="57">
        <v>11.98</v>
      </c>
      <c r="J594" s="32">
        <f t="array" ref="J59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44834</v>
      </c>
      <c r="K594" s="59">
        <f>IFERROR(Table13[[#This Row],[Bid Accepted]]*(Table13[[#This Row],[WAYR Current]]%/364*Table13[[#This Row],[Days To Maturity]]),0)</f>
        <v>0.30625000000000002</v>
      </c>
      <c r="L594" s="41">
        <f>+Table13[[#This Row],[Bid Accepted]]-Table13[[#This Row],[Amount Offered]]</f>
        <v>-11995</v>
      </c>
      <c r="M594" s="57">
        <f>+IF(Table13[[#This Row],[WAYR Last]]&gt;0,IF(Table13[[#This Row],[WAYR Current]]&gt;0,(Table13[[#This Row],[WAYR Current]]-Table13[[#This Row],[WAYR Last]]),""),"")</f>
        <v>0.26999999999999957</v>
      </c>
      <c r="AG594" s="78"/>
      <c r="AH594" s="13"/>
      <c r="AN594" s="78"/>
      <c r="AP594" s="77"/>
      <c r="AU594" s="78"/>
      <c r="AV594" s="64"/>
      <c r="AX594" s="78"/>
      <c r="AY594" s="13"/>
    </row>
    <row r="595" spans="1:51" x14ac:dyDescent="0.2">
      <c r="A595" s="34">
        <v>44650</v>
      </c>
      <c r="B595" s="35" t="s">
        <v>386</v>
      </c>
      <c r="C595" s="54">
        <v>364</v>
      </c>
      <c r="D595" s="54"/>
      <c r="E595" s="44">
        <v>18000</v>
      </c>
      <c r="F595" s="44">
        <v>18333</v>
      </c>
      <c r="G595" s="56">
        <v>343</v>
      </c>
      <c r="H595" s="56">
        <v>12.28</v>
      </c>
      <c r="I595" s="57">
        <v>12</v>
      </c>
      <c r="J595" s="32">
        <f t="array" ref="J595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45015</v>
      </c>
      <c r="K595" s="59">
        <f>IFERROR(Table13[[#This Row],[Bid Accepted]]*(Table13[[#This Row],[WAYR Current]]%/364*Table13[[#This Row],[Days To Maturity]]),0)</f>
        <v>42.120399999999997</v>
      </c>
      <c r="L595" s="41">
        <f>+Table13[[#This Row],[Bid Accepted]]-Table13[[#This Row],[Amount Offered]]</f>
        <v>-17657</v>
      </c>
      <c r="M595" s="57">
        <f>+IF(Table13[[#This Row],[WAYR Last]]&gt;0,IF(Table13[[#This Row],[WAYR Current]]&gt;0,(Table13[[#This Row],[WAYR Current]]-Table13[[#This Row],[WAYR Last]]),""),"")</f>
        <v>0.27999999999999936</v>
      </c>
      <c r="AG595" s="78"/>
      <c r="AH595" s="13"/>
      <c r="AN595" s="78"/>
      <c r="AP595" s="77"/>
      <c r="AU595" s="78"/>
      <c r="AV595" s="64"/>
      <c r="AX595" s="78"/>
      <c r="AY595" s="13"/>
    </row>
    <row r="596" spans="1:51" x14ac:dyDescent="0.2">
      <c r="A596" s="34">
        <v>44657</v>
      </c>
      <c r="B596" s="35" t="s">
        <v>387</v>
      </c>
      <c r="C596" s="54">
        <v>91</v>
      </c>
      <c r="D596" s="54"/>
      <c r="E596" s="44">
        <v>40000</v>
      </c>
      <c r="F596" s="44">
        <v>76466</v>
      </c>
      <c r="G596" s="56">
        <v>64311</v>
      </c>
      <c r="H596" s="56">
        <v>14.12</v>
      </c>
      <c r="I596" s="57">
        <v>12.92</v>
      </c>
      <c r="J596" s="32">
        <f t="array" ref="J59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44748</v>
      </c>
      <c r="K596" s="59">
        <f>IFERROR(Table13[[#This Row],[Bid Accepted]]*(Table13[[#This Row],[WAYR Current]]%/364*Table13[[#This Row],[Days To Maturity]]),0)</f>
        <v>2270.1783</v>
      </c>
      <c r="L596" s="41">
        <f>+Table13[[#This Row],[Bid Accepted]]-Table13[[#This Row],[Amount Offered]]</f>
        <v>24311</v>
      </c>
      <c r="M596" s="57">
        <f>+IF(Table13[[#This Row],[WAYR Last]]&gt;0,IF(Table13[[#This Row],[WAYR Current]]&gt;0,(Table13[[#This Row],[WAYR Current]]-Table13[[#This Row],[WAYR Last]]),""),"")</f>
        <v>1.1999999999999993</v>
      </c>
      <c r="AG596" s="78"/>
      <c r="AH596" s="13"/>
      <c r="AN596" s="78"/>
      <c r="AP596" s="77"/>
      <c r="AU596" s="78"/>
      <c r="AV596" s="64"/>
      <c r="AX596" s="78"/>
      <c r="AY596" s="13"/>
    </row>
    <row r="597" spans="1:51" x14ac:dyDescent="0.2">
      <c r="A597" s="34">
        <v>44657</v>
      </c>
      <c r="B597" s="35" t="s">
        <v>388</v>
      </c>
      <c r="C597" s="54">
        <v>182</v>
      </c>
      <c r="D597" s="54"/>
      <c r="E597" s="44">
        <v>20000</v>
      </c>
      <c r="F597" s="44">
        <v>20132</v>
      </c>
      <c r="G597" s="56">
        <v>4237</v>
      </c>
      <c r="H597" s="56">
        <v>15.36</v>
      </c>
      <c r="I597" s="57">
        <v>12.25</v>
      </c>
      <c r="J597" s="32">
        <f t="array" ref="J59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44840</v>
      </c>
      <c r="K597" s="59">
        <f>IFERROR(Table13[[#This Row],[Bid Accepted]]*(Table13[[#This Row],[WAYR Current]]%/364*Table13[[#This Row],[Days To Maturity]]),0)</f>
        <v>325.40159999999997</v>
      </c>
      <c r="L597" s="41">
        <f>+Table13[[#This Row],[Bid Accepted]]-Table13[[#This Row],[Amount Offered]]</f>
        <v>-15763</v>
      </c>
      <c r="M597" s="57">
        <f>+IF(Table13[[#This Row],[WAYR Last]]&gt;0,IF(Table13[[#This Row],[WAYR Current]]&gt;0,(Table13[[#This Row],[WAYR Current]]-Table13[[#This Row],[WAYR Last]]),""),"")</f>
        <v>3.1099999999999994</v>
      </c>
      <c r="AG597" s="78"/>
      <c r="AH597" s="13"/>
      <c r="AN597" s="78"/>
      <c r="AP597" s="77"/>
      <c r="AU597" s="78"/>
      <c r="AV597" s="64"/>
      <c r="AX597" s="78"/>
      <c r="AY597" s="13"/>
    </row>
    <row r="598" spans="1:51" x14ac:dyDescent="0.2">
      <c r="A598" s="34">
        <v>44657</v>
      </c>
      <c r="B598" s="35" t="s">
        <v>389</v>
      </c>
      <c r="C598" s="54">
        <v>364</v>
      </c>
      <c r="D598" s="54"/>
      <c r="E598" s="44">
        <v>20000</v>
      </c>
      <c r="F598" s="44">
        <v>20167</v>
      </c>
      <c r="G598" s="56">
        <v>4332</v>
      </c>
      <c r="H598" s="56">
        <v>15.69</v>
      </c>
      <c r="I598" s="57">
        <v>12.28</v>
      </c>
      <c r="J598" s="32">
        <f t="array" ref="J598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45022</v>
      </c>
      <c r="K598" s="59">
        <f>IFERROR(Table13[[#This Row],[Bid Accepted]]*(Table13[[#This Row],[WAYR Current]]%/364*Table13[[#This Row],[Days To Maturity]]),0)</f>
        <v>679.69079999999997</v>
      </c>
      <c r="L598" s="41">
        <f>+Table13[[#This Row],[Bid Accepted]]-Table13[[#This Row],[Amount Offered]]</f>
        <v>-15668</v>
      </c>
      <c r="M598" s="57">
        <f>+IF(Table13[[#This Row],[WAYR Last]]&gt;0,IF(Table13[[#This Row],[WAYR Current]]&gt;0,(Table13[[#This Row],[WAYR Current]]-Table13[[#This Row],[WAYR Last]]),""),"")</f>
        <v>3.41</v>
      </c>
      <c r="AG598" s="78"/>
      <c r="AH598" s="13"/>
      <c r="AN598" s="78"/>
      <c r="AP598" s="77"/>
      <c r="AU598" s="78"/>
      <c r="AV598" s="64"/>
      <c r="AX598" s="78"/>
      <c r="AY598" s="13"/>
    </row>
    <row r="599" spans="1:51" x14ac:dyDescent="0.2">
      <c r="A599" s="34">
        <v>44662</v>
      </c>
      <c r="B599" s="35" t="s">
        <v>390</v>
      </c>
      <c r="C599" s="54">
        <v>91</v>
      </c>
      <c r="D599" s="54"/>
      <c r="E599" s="44">
        <v>35000</v>
      </c>
      <c r="F599" s="44">
        <v>55501</v>
      </c>
      <c r="G599" s="56">
        <v>48431</v>
      </c>
      <c r="H599" s="56">
        <v>19.71</v>
      </c>
      <c r="I599" s="57">
        <v>14.12</v>
      </c>
      <c r="J599" s="32">
        <f t="array" ref="J59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44753</v>
      </c>
      <c r="K599" s="59">
        <f>IFERROR(Table13[[#This Row],[Bid Accepted]]*(Table13[[#This Row],[WAYR Current]]%/364*Table13[[#This Row],[Days To Maturity]]),0)</f>
        <v>2386.4375249999998</v>
      </c>
      <c r="L599" s="41">
        <f>+Table13[[#This Row],[Bid Accepted]]-Table13[[#This Row],[Amount Offered]]</f>
        <v>13431</v>
      </c>
      <c r="M599" s="57">
        <f>+IF(Table13[[#This Row],[WAYR Last]]&gt;0,IF(Table13[[#This Row],[WAYR Current]]&gt;0,(Table13[[#This Row],[WAYR Current]]-Table13[[#This Row],[WAYR Last]]),""),"")</f>
        <v>5.5900000000000016</v>
      </c>
      <c r="AG599" s="78"/>
      <c r="AH599" s="13"/>
      <c r="AN599" s="78"/>
      <c r="AP599" s="77"/>
      <c r="AU599" s="78"/>
      <c r="AV599" s="64"/>
      <c r="AX599" s="78"/>
      <c r="AY599" s="13"/>
    </row>
    <row r="600" spans="1:51" x14ac:dyDescent="0.2">
      <c r="A600" s="34">
        <v>44662</v>
      </c>
      <c r="B600" s="35" t="s">
        <v>391</v>
      </c>
      <c r="C600" s="54">
        <v>182</v>
      </c>
      <c r="D600" s="54"/>
      <c r="E600" s="44">
        <v>27500</v>
      </c>
      <c r="F600" s="44">
        <v>28018</v>
      </c>
      <c r="G600" s="56">
        <v>19918</v>
      </c>
      <c r="H600" s="56">
        <v>22.73</v>
      </c>
      <c r="I600" s="57">
        <v>15.36</v>
      </c>
      <c r="J600" s="32">
        <f t="array" ref="J60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44845</v>
      </c>
      <c r="K600" s="59">
        <f>IFERROR(Table13[[#This Row],[Bid Accepted]]*(Table13[[#This Row],[WAYR Current]]%/364*Table13[[#This Row],[Days To Maturity]]),0)</f>
        <v>2263.6806999999999</v>
      </c>
      <c r="L600" s="41">
        <f>+Table13[[#This Row],[Bid Accepted]]-Table13[[#This Row],[Amount Offered]]</f>
        <v>-7582</v>
      </c>
      <c r="M600" s="57">
        <f>+IF(Table13[[#This Row],[WAYR Last]]&gt;0,IF(Table13[[#This Row],[WAYR Current]]&gt;0,(Table13[[#This Row],[WAYR Current]]-Table13[[#This Row],[WAYR Last]]),""),"")</f>
        <v>7.370000000000001</v>
      </c>
      <c r="AG600" s="78"/>
      <c r="AH600" s="13"/>
      <c r="AN600" s="78"/>
      <c r="AP600" s="77"/>
      <c r="AU600" s="78"/>
      <c r="AV600" s="64"/>
      <c r="AX600" s="78"/>
      <c r="AY600" s="13"/>
    </row>
    <row r="601" spans="1:51" x14ac:dyDescent="0.2">
      <c r="A601" s="34">
        <v>44662</v>
      </c>
      <c r="B601" s="35" t="s">
        <v>392</v>
      </c>
      <c r="C601" s="54">
        <v>364</v>
      </c>
      <c r="D601" s="54"/>
      <c r="E601" s="44">
        <v>25000</v>
      </c>
      <c r="F601" s="44">
        <v>25223</v>
      </c>
      <c r="G601" s="56">
        <v>13649</v>
      </c>
      <c r="H601" s="56">
        <v>23.36</v>
      </c>
      <c r="I601" s="57">
        <v>15.69</v>
      </c>
      <c r="J601" s="32">
        <f t="array" ref="J601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45027</v>
      </c>
      <c r="K601" s="59">
        <f>IFERROR(Table13[[#This Row],[Bid Accepted]]*(Table13[[#This Row],[WAYR Current]]%/364*Table13[[#This Row],[Days To Maturity]]),0)</f>
        <v>3188.4063999999998</v>
      </c>
      <c r="L601" s="41">
        <f>+Table13[[#This Row],[Bid Accepted]]-Table13[[#This Row],[Amount Offered]]</f>
        <v>-11351</v>
      </c>
      <c r="M601" s="57">
        <f>+IF(Table13[[#This Row],[WAYR Last]]&gt;0,IF(Table13[[#This Row],[WAYR Current]]&gt;0,(Table13[[#This Row],[WAYR Current]]-Table13[[#This Row],[WAYR Last]]),""),"")</f>
        <v>7.67</v>
      </c>
      <c r="AG601" s="78"/>
      <c r="AH601" s="13"/>
      <c r="AN601" s="78"/>
      <c r="AP601" s="77"/>
      <c r="AU601" s="78"/>
      <c r="AV601" s="64"/>
      <c r="AX601" s="78"/>
      <c r="AY601" s="13"/>
    </row>
    <row r="602" spans="1:51" x14ac:dyDescent="0.2">
      <c r="A602" s="34">
        <v>44671</v>
      </c>
      <c r="B602" s="35" t="s">
        <v>393</v>
      </c>
      <c r="C602" s="54">
        <v>91</v>
      </c>
      <c r="D602" s="54"/>
      <c r="E602" s="44">
        <v>47500</v>
      </c>
      <c r="F602" s="44">
        <v>101552</v>
      </c>
      <c r="G602" s="56">
        <v>45150</v>
      </c>
      <c r="H602" s="56">
        <v>23.21</v>
      </c>
      <c r="I602" s="57">
        <v>19.71</v>
      </c>
      <c r="J602" s="32">
        <f t="array" ref="J60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44762</v>
      </c>
      <c r="K602" s="59">
        <f>IFERROR(Table13[[#This Row],[Bid Accepted]]*(Table13[[#This Row],[WAYR Current]]%/364*Table13[[#This Row],[Days To Maturity]]),0)</f>
        <v>2619.8287500000001</v>
      </c>
      <c r="L602" s="41">
        <f>+Table13[[#This Row],[Bid Accepted]]-Table13[[#This Row],[Amount Offered]]</f>
        <v>-2350</v>
      </c>
      <c r="M602" s="57">
        <f>+IF(Table13[[#This Row],[WAYR Last]]&gt;0,IF(Table13[[#This Row],[WAYR Current]]&gt;0,(Table13[[#This Row],[WAYR Current]]-Table13[[#This Row],[WAYR Last]]),""),"")</f>
        <v>3.5</v>
      </c>
      <c r="AG602" s="78"/>
      <c r="AH602" s="13"/>
      <c r="AN602" s="78"/>
      <c r="AP602" s="77"/>
      <c r="AU602" s="78"/>
      <c r="AV602" s="64"/>
      <c r="AX602" s="78"/>
      <c r="AY602" s="13"/>
    </row>
    <row r="603" spans="1:51" x14ac:dyDescent="0.2">
      <c r="A603" s="34">
        <v>44671</v>
      </c>
      <c r="B603" s="35" t="s">
        <v>394</v>
      </c>
      <c r="C603" s="54">
        <v>182</v>
      </c>
      <c r="D603" s="54"/>
      <c r="E603" s="44">
        <v>27500</v>
      </c>
      <c r="F603" s="44">
        <v>28792</v>
      </c>
      <c r="G603" s="56">
        <v>917</v>
      </c>
      <c r="H603" s="56">
        <v>24.77</v>
      </c>
      <c r="I603" s="57">
        <v>22.73</v>
      </c>
      <c r="J603" s="32">
        <f t="array" ref="J60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44854</v>
      </c>
      <c r="K603" s="59">
        <f>IFERROR(Table13[[#This Row],[Bid Accepted]]*(Table13[[#This Row],[WAYR Current]]%/364*Table13[[#This Row],[Days To Maturity]]),0)</f>
        <v>113.57045000000001</v>
      </c>
      <c r="L603" s="41">
        <f>+Table13[[#This Row],[Bid Accepted]]-Table13[[#This Row],[Amount Offered]]</f>
        <v>-26583</v>
      </c>
      <c r="M603" s="57">
        <f>+IF(Table13[[#This Row],[WAYR Last]]&gt;0,IF(Table13[[#This Row],[WAYR Current]]&gt;0,(Table13[[#This Row],[WAYR Current]]-Table13[[#This Row],[WAYR Last]]),""),"")</f>
        <v>2.0399999999999991</v>
      </c>
      <c r="AG603" s="78"/>
      <c r="AH603" s="13"/>
      <c r="AN603" s="78"/>
      <c r="AP603" s="77"/>
      <c r="AU603" s="78"/>
      <c r="AV603" s="64"/>
      <c r="AX603" s="78"/>
      <c r="AY603" s="13"/>
    </row>
    <row r="604" spans="1:51" x14ac:dyDescent="0.2">
      <c r="A604" s="34">
        <v>44671</v>
      </c>
      <c r="B604" s="35" t="s">
        <v>395</v>
      </c>
      <c r="C604" s="54">
        <v>364</v>
      </c>
      <c r="D604" s="54"/>
      <c r="E604" s="44">
        <v>22500</v>
      </c>
      <c r="F604" s="44">
        <v>31776</v>
      </c>
      <c r="G604" s="56">
        <v>1999</v>
      </c>
      <c r="H604" s="56">
        <v>24.36</v>
      </c>
      <c r="I604" s="57">
        <v>23.36</v>
      </c>
      <c r="J604" s="32">
        <f t="array" ref="J604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45036</v>
      </c>
      <c r="K604" s="59">
        <f>IFERROR(Table13[[#This Row],[Bid Accepted]]*(Table13[[#This Row],[WAYR Current]]%/364*Table13[[#This Row],[Days To Maturity]]),0)</f>
        <v>486.95639999999997</v>
      </c>
      <c r="L604" s="41">
        <f>+Table13[[#This Row],[Bid Accepted]]-Table13[[#This Row],[Amount Offered]]</f>
        <v>-20501</v>
      </c>
      <c r="M604" s="57">
        <f>+IF(Table13[[#This Row],[WAYR Last]]&gt;0,IF(Table13[[#This Row],[WAYR Current]]&gt;0,(Table13[[#This Row],[WAYR Current]]-Table13[[#This Row],[WAYR Last]]),""),"")</f>
        <v>1</v>
      </c>
      <c r="AG604" s="78"/>
      <c r="AH604" s="13"/>
      <c r="AN604" s="78"/>
      <c r="AP604" s="77"/>
      <c r="AU604" s="78"/>
      <c r="AV604" s="64"/>
      <c r="AX604" s="78"/>
      <c r="AY604" s="13"/>
    </row>
    <row r="605" spans="1:51" x14ac:dyDescent="0.2">
      <c r="A605" s="9">
        <v>44678</v>
      </c>
      <c r="B605" s="10" t="s">
        <v>396</v>
      </c>
      <c r="C605" s="54">
        <v>91</v>
      </c>
      <c r="D605" s="10"/>
      <c r="E605" s="14">
        <v>42500</v>
      </c>
      <c r="F605" s="18">
        <v>108739</v>
      </c>
      <c r="G605" s="18">
        <v>78752</v>
      </c>
      <c r="H605" s="37">
        <v>23.53</v>
      </c>
      <c r="I605" s="37">
        <v>23.21</v>
      </c>
      <c r="J605" s="12">
        <f t="array" ref="J60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44769</v>
      </c>
      <c r="K605" s="66">
        <f>IFERROR(Table13[[#This Row],[Bid Accepted]]*(Table13[[#This Row],[WAYR Current]]%/364*Table13[[#This Row],[Days To Maturity]]),0)</f>
        <v>4632.5864000000001</v>
      </c>
      <c r="L605" s="41">
        <f>+Table13[[#This Row],[Bid Accepted]]-Table13[[#This Row],[Amount Offered]]</f>
        <v>36252</v>
      </c>
      <c r="M605" s="57">
        <f>+IF(Table13[[#This Row],[WAYR Last]]&gt;0,IF(Table13[[#This Row],[WAYR Current]]&gt;0,(Table13[[#This Row],[WAYR Current]]-Table13[[#This Row],[WAYR Last]]),""),"")</f>
        <v>0.32000000000000028</v>
      </c>
      <c r="AG605" s="78"/>
      <c r="AH605" s="13"/>
      <c r="AN605" s="78"/>
      <c r="AP605" s="77"/>
      <c r="AU605" s="78"/>
      <c r="AV605" s="64"/>
      <c r="AX605" s="78"/>
      <c r="AY605" s="13"/>
    </row>
    <row r="606" spans="1:51" x14ac:dyDescent="0.2">
      <c r="A606" s="9">
        <v>44678</v>
      </c>
      <c r="B606" s="10" t="s">
        <v>397</v>
      </c>
      <c r="C606" s="54">
        <v>182</v>
      </c>
      <c r="D606" s="10"/>
      <c r="E606" s="14">
        <v>24500</v>
      </c>
      <c r="F606" s="18">
        <v>32851</v>
      </c>
      <c r="G606" s="18">
        <v>1107</v>
      </c>
      <c r="H606" s="37">
        <v>23.96</v>
      </c>
      <c r="I606" s="33">
        <v>24.77</v>
      </c>
      <c r="J606" s="12">
        <f t="array" ref="J60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44861</v>
      </c>
      <c r="K606" s="59">
        <f>IFERROR(Table13[[#This Row],[Bid Accepted]]*(Table13[[#This Row],[WAYR Current]]%/364*Table13[[#This Row],[Days To Maturity]]),0)</f>
        <v>132.61860000000001</v>
      </c>
      <c r="L606" s="41">
        <f>+Table13[[#This Row],[Bid Accepted]]-Table13[[#This Row],[Amount Offered]]</f>
        <v>-23393</v>
      </c>
      <c r="M606" s="57">
        <f>+IF(Table13[[#This Row],[WAYR Last]]&gt;0,IF(Table13[[#This Row],[WAYR Current]]&gt;0,(Table13[[#This Row],[WAYR Current]]-Table13[[#This Row],[WAYR Last]]),""),"")</f>
        <v>-0.80999999999999872</v>
      </c>
      <c r="AG606" s="78"/>
      <c r="AH606" s="13"/>
      <c r="AN606" s="78"/>
      <c r="AP606" s="77"/>
      <c r="AU606" s="78"/>
      <c r="AV606" s="64"/>
      <c r="AX606" s="78"/>
      <c r="AY606" s="13"/>
    </row>
    <row r="607" spans="1:51" x14ac:dyDescent="0.2">
      <c r="A607" s="9">
        <v>44678</v>
      </c>
      <c r="B607" s="10" t="s">
        <v>398</v>
      </c>
      <c r="C607" s="54">
        <v>364</v>
      </c>
      <c r="D607" s="10"/>
      <c r="E607" s="14">
        <v>20500</v>
      </c>
      <c r="F607" s="18">
        <v>34332</v>
      </c>
      <c r="G607" s="18">
        <v>7641</v>
      </c>
      <c r="H607" s="37">
        <v>24.09</v>
      </c>
      <c r="I607" s="33">
        <v>24.36</v>
      </c>
      <c r="J607" s="12">
        <f t="array" ref="J607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45043</v>
      </c>
      <c r="K607" s="59">
        <f>IFERROR(Table13[[#This Row],[Bid Accepted]]*(Table13[[#This Row],[WAYR Current]]%/364*Table13[[#This Row],[Days To Maturity]]),0)</f>
        <v>1840.7169000000001</v>
      </c>
      <c r="L607" s="41">
        <f>+Table13[[#This Row],[Bid Accepted]]-Table13[[#This Row],[Amount Offered]]</f>
        <v>-12859</v>
      </c>
      <c r="M607" s="57">
        <f>+IF(Table13[[#This Row],[WAYR Last]]&gt;0,IF(Table13[[#This Row],[WAYR Current]]&gt;0,(Table13[[#This Row],[WAYR Current]]-Table13[[#This Row],[WAYR Last]]),""),"")</f>
        <v>-0.26999999999999957</v>
      </c>
      <c r="AG607" s="78"/>
      <c r="AH607" s="13"/>
      <c r="AN607" s="78"/>
      <c r="AP607" s="77"/>
      <c r="AU607" s="78"/>
      <c r="AV607" s="64"/>
      <c r="AX607" s="78"/>
      <c r="AY607" s="13"/>
    </row>
    <row r="608" spans="1:51" x14ac:dyDescent="0.2">
      <c r="A608" s="9">
        <v>44685</v>
      </c>
      <c r="B608" s="10" t="s">
        <v>399</v>
      </c>
      <c r="C608" s="10">
        <v>91</v>
      </c>
      <c r="D608" s="10"/>
      <c r="E608" s="14">
        <v>40000</v>
      </c>
      <c r="F608" s="18">
        <v>111372</v>
      </c>
      <c r="G608" s="18">
        <v>74069</v>
      </c>
      <c r="H608" s="37">
        <v>23.48</v>
      </c>
      <c r="I608" s="68">
        <v>23.53</v>
      </c>
      <c r="J608" s="12">
        <f t="array" ref="J60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44777</v>
      </c>
      <c r="K608" s="66">
        <f>IFERROR(Table13[[#This Row],[Bid Accepted]]*(Table13[[#This Row],[WAYR Current]]%/364*Table13[[#This Row],[Days To Maturity]]),0)</f>
        <v>4347.8503000000001</v>
      </c>
      <c r="L608" s="41">
        <f>+Table13[[#This Row],[Bid Accepted]]-Table13[[#This Row],[Amount Offered]]</f>
        <v>34069</v>
      </c>
      <c r="M608" s="57">
        <f>+IF(Table13[[#This Row],[WAYR Last]]&gt;0,IF(Table13[[#This Row],[WAYR Current]]&gt;0,(Table13[[#This Row],[WAYR Current]]-Table13[[#This Row],[WAYR Last]]),""),"")</f>
        <v>-5.0000000000000711E-2</v>
      </c>
    </row>
    <row r="609" spans="1:13" x14ac:dyDescent="0.2">
      <c r="A609" s="53">
        <v>44685</v>
      </c>
      <c r="B609" s="10" t="s">
        <v>400</v>
      </c>
      <c r="C609" s="10">
        <v>182</v>
      </c>
      <c r="D609" s="10"/>
      <c r="E609" s="14">
        <v>30000</v>
      </c>
      <c r="F609" s="18">
        <v>33548</v>
      </c>
      <c r="G609" s="18">
        <v>9568</v>
      </c>
      <c r="H609" s="37">
        <v>23.85</v>
      </c>
      <c r="I609" s="68">
        <v>23.96</v>
      </c>
      <c r="J609" s="12">
        <f t="array" ref="J60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44869</v>
      </c>
      <c r="K609" s="59">
        <f>IFERROR(Table13[[#This Row],[Bid Accepted]]*(Table13[[#This Row],[WAYR Current]]%/364*Table13[[#This Row],[Days To Maturity]]),0)</f>
        <v>1140.9840000000002</v>
      </c>
      <c r="L609" s="41">
        <f>+Table13[[#This Row],[Bid Accepted]]-Table13[[#This Row],[Amount Offered]]</f>
        <v>-20432</v>
      </c>
      <c r="M609" s="57">
        <f>+IF(Table13[[#This Row],[WAYR Last]]&gt;0,IF(Table13[[#This Row],[WAYR Current]]&gt;0,(Table13[[#This Row],[WAYR Current]]-Table13[[#This Row],[WAYR Last]]),""),"")</f>
        <v>-0.10999999999999943</v>
      </c>
    </row>
    <row r="610" spans="1:13" x14ac:dyDescent="0.2">
      <c r="A610" s="53">
        <v>44685</v>
      </c>
      <c r="B610" s="10" t="s">
        <v>401</v>
      </c>
      <c r="C610" s="10">
        <v>364</v>
      </c>
      <c r="D610" s="10"/>
      <c r="E610" s="14">
        <v>27500</v>
      </c>
      <c r="F610" s="18">
        <v>44265</v>
      </c>
      <c r="G610" s="18">
        <v>13863</v>
      </c>
      <c r="H610" s="37">
        <v>23.92</v>
      </c>
      <c r="I610" s="68">
        <v>24.09</v>
      </c>
      <c r="J610" s="12">
        <f t="array" ref="J610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45050</v>
      </c>
      <c r="K610" s="59">
        <f>IFERROR(Table13[[#This Row],[Bid Accepted]]*(Table13[[#This Row],[WAYR Current]]%/364*Table13[[#This Row],[Days To Maturity]]),0)</f>
        <v>3316.0296000000003</v>
      </c>
      <c r="L610" s="41">
        <f>+Table13[[#This Row],[Bid Accepted]]-Table13[[#This Row],[Amount Offered]]</f>
        <v>-13637</v>
      </c>
      <c r="M610" s="57">
        <f>+IF(Table13[[#This Row],[WAYR Last]]&gt;0,IF(Table13[[#This Row],[WAYR Current]]&gt;0,(Table13[[#This Row],[WAYR Current]]-Table13[[#This Row],[WAYR Last]]),""),"")</f>
        <v>-0.16999999999999815</v>
      </c>
    </row>
    <row r="611" spans="1:13" ht="12.75" customHeight="1" x14ac:dyDescent="0.2">
      <c r="A611" s="9">
        <v>44692</v>
      </c>
      <c r="B611" s="10" t="s">
        <v>402</v>
      </c>
      <c r="C611" s="10">
        <v>91</v>
      </c>
      <c r="D611" s="10"/>
      <c r="E611" s="14">
        <v>46500</v>
      </c>
      <c r="F611" s="18">
        <v>91297</v>
      </c>
      <c r="G611" s="18">
        <v>66027</v>
      </c>
      <c r="H611" s="37">
        <v>24.07</v>
      </c>
      <c r="I611" s="51">
        <v>23.48</v>
      </c>
      <c r="J611" s="12">
        <f t="array" ref="J61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44784</v>
      </c>
      <c r="K611" s="66">
        <f>IFERROR(Table13[[#This Row],[Bid Accepted]]*(Table13[[#This Row],[WAYR Current]]%/364*Table13[[#This Row],[Days To Maturity]]),0)</f>
        <v>3973.1747249999994</v>
      </c>
      <c r="L611" s="41">
        <f>+Table13[[#This Row],[Bid Accepted]]-Table13[[#This Row],[Amount Offered]]</f>
        <v>19527</v>
      </c>
      <c r="M611" s="57">
        <f>+IF(Table13[[#This Row],[WAYR Last]]&gt;0,IF(Table13[[#This Row],[WAYR Current]]&gt;0,(Table13[[#This Row],[WAYR Current]]-Table13[[#This Row],[WAYR Last]]),""),"")</f>
        <v>0.58999999999999986</v>
      </c>
    </row>
    <row r="612" spans="1:13" ht="12.75" customHeight="1" x14ac:dyDescent="0.2">
      <c r="A612" s="9">
        <v>44692</v>
      </c>
      <c r="B612" s="10" t="s">
        <v>403</v>
      </c>
      <c r="C612" s="10">
        <v>182</v>
      </c>
      <c r="D612" s="10"/>
      <c r="E612" s="14">
        <v>23000</v>
      </c>
      <c r="F612" s="18">
        <v>25730</v>
      </c>
      <c r="G612" s="18">
        <v>4225</v>
      </c>
      <c r="H612" s="33">
        <v>24.69</v>
      </c>
      <c r="I612" s="51">
        <v>23.85</v>
      </c>
      <c r="J612" s="12">
        <f t="array" ref="J61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44876</v>
      </c>
      <c r="K612" s="59">
        <f>IFERROR(Table13[[#This Row],[Bid Accepted]]*(Table13[[#This Row],[WAYR Current]]%/364*Table13[[#This Row],[Days To Maturity]]),0)</f>
        <v>521.57625000000007</v>
      </c>
      <c r="L612" s="41">
        <f>+Table13[[#This Row],[Bid Accepted]]-Table13[[#This Row],[Amount Offered]]</f>
        <v>-18775</v>
      </c>
      <c r="M612" s="57">
        <f>+IF(Table13[[#This Row],[WAYR Last]]&gt;0,IF(Table13[[#This Row],[WAYR Current]]&gt;0,(Table13[[#This Row],[WAYR Current]]-Table13[[#This Row],[WAYR Last]]),""),"")</f>
        <v>0.83999999999999986</v>
      </c>
    </row>
    <row r="613" spans="1:13" ht="12.75" customHeight="1" x14ac:dyDescent="0.2">
      <c r="A613" s="9">
        <v>44692</v>
      </c>
      <c r="B613" s="10" t="s">
        <v>404</v>
      </c>
      <c r="C613" s="10">
        <v>364</v>
      </c>
      <c r="D613" s="10"/>
      <c r="E613" s="14">
        <v>23000</v>
      </c>
      <c r="F613" s="18">
        <v>34495</v>
      </c>
      <c r="G613" s="18">
        <v>15147</v>
      </c>
      <c r="H613" s="33">
        <v>24.5</v>
      </c>
      <c r="I613" s="51">
        <v>23.92</v>
      </c>
      <c r="J613" s="12">
        <f t="array" ref="J613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45057</v>
      </c>
      <c r="K613" s="59">
        <f>IFERROR(Table13[[#This Row],[Bid Accepted]]*(Table13[[#This Row],[WAYR Current]]%/364*Table13[[#This Row],[Days To Maturity]]),0)</f>
        <v>3711.0149999999999</v>
      </c>
      <c r="L613" s="41">
        <f>+Table13[[#This Row],[Bid Accepted]]-Table13[[#This Row],[Amount Offered]]</f>
        <v>-7853</v>
      </c>
      <c r="M613" s="57">
        <f>+IF(Table13[[#This Row],[WAYR Last]]&gt;0,IF(Table13[[#This Row],[WAYR Current]]&gt;0,(Table13[[#This Row],[WAYR Current]]-Table13[[#This Row],[WAYR Last]]),""),"")</f>
        <v>0.57999999999999829</v>
      </c>
    </row>
    <row r="614" spans="1:13" x14ac:dyDescent="0.2">
      <c r="A614" s="9">
        <v>44699</v>
      </c>
      <c r="B614" s="10" t="s">
        <v>405</v>
      </c>
      <c r="C614" s="10">
        <v>91</v>
      </c>
      <c r="D614" s="10"/>
      <c r="E614" s="14">
        <v>50000</v>
      </c>
      <c r="F614" s="18">
        <v>85462</v>
      </c>
      <c r="G614" s="18">
        <v>6416</v>
      </c>
      <c r="H614" s="39">
        <v>24.07</v>
      </c>
      <c r="I614" s="57">
        <v>24.07</v>
      </c>
      <c r="J614" s="12">
        <f t="array" ref="J61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44791</v>
      </c>
      <c r="K614" s="66">
        <f>IFERROR(Table13[[#This Row],[Bid Accepted]]*(Table13[[#This Row],[WAYR Current]]%/364*Table13[[#This Row],[Days To Maturity]]),0)</f>
        <v>386.08279999999996</v>
      </c>
      <c r="L614" s="41">
        <f>+Table13[[#This Row],[Bid Accepted]]-Table13[[#This Row],[Amount Offered]]</f>
        <v>-43584</v>
      </c>
      <c r="M614" s="57">
        <f>+IF(Table13[[#This Row],[WAYR Last]]&gt;0,IF(Table13[[#This Row],[WAYR Current]]&gt;0,(Table13[[#This Row],[WAYR Current]]-Table13[[#This Row],[WAYR Last]]),""),"")</f>
        <v>0</v>
      </c>
    </row>
    <row r="615" spans="1:13" x14ac:dyDescent="0.2">
      <c r="A615" s="53">
        <v>44699</v>
      </c>
      <c r="B615" s="10" t="s">
        <v>406</v>
      </c>
      <c r="C615" s="10">
        <v>182</v>
      </c>
      <c r="D615" s="10"/>
      <c r="E615" s="14">
        <v>20000</v>
      </c>
      <c r="F615" s="18">
        <v>20994</v>
      </c>
      <c r="G615" s="18">
        <v>3433</v>
      </c>
      <c r="H615" s="57">
        <v>24.69</v>
      </c>
      <c r="I615" s="57">
        <v>24.69</v>
      </c>
      <c r="J615" s="12">
        <f t="array" ref="J61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44883</v>
      </c>
      <c r="K615" s="59">
        <f>IFERROR(Table13[[#This Row],[Bid Accepted]]*(Table13[[#This Row],[WAYR Current]]%/364*Table13[[#This Row],[Days To Maturity]]),0)</f>
        <v>423.80385000000001</v>
      </c>
      <c r="L615" s="41">
        <f>+Table13[[#This Row],[Bid Accepted]]-Table13[[#This Row],[Amount Offered]]</f>
        <v>-16567</v>
      </c>
      <c r="M615" s="57">
        <f>+IF(Table13[[#This Row],[WAYR Last]]&gt;0,IF(Table13[[#This Row],[WAYR Current]]&gt;0,(Table13[[#This Row],[WAYR Current]]-Table13[[#This Row],[WAYR Last]]),""),"")</f>
        <v>0</v>
      </c>
    </row>
    <row r="616" spans="1:13" x14ac:dyDescent="0.2">
      <c r="A616" s="53">
        <v>44699</v>
      </c>
      <c r="B616" s="10" t="s">
        <v>407</v>
      </c>
      <c r="C616" s="10">
        <v>364</v>
      </c>
      <c r="D616" s="10"/>
      <c r="E616" s="14">
        <v>20000</v>
      </c>
      <c r="F616" s="18">
        <v>28754</v>
      </c>
      <c r="G616" s="18">
        <v>6626</v>
      </c>
      <c r="H616" s="57">
        <v>24.5</v>
      </c>
      <c r="I616" s="57">
        <v>24.5</v>
      </c>
      <c r="J616" s="12">
        <f t="array" ref="J616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45064</v>
      </c>
      <c r="K616" s="59">
        <f>IFERROR(Table13[[#This Row],[Bid Accepted]]*(Table13[[#This Row],[WAYR Current]]%/364*Table13[[#This Row],[Days To Maturity]]),0)</f>
        <v>1623.37</v>
      </c>
      <c r="L616" s="41">
        <f>+Table13[[#This Row],[Bid Accepted]]-Table13[[#This Row],[Amount Offered]]</f>
        <v>-13374</v>
      </c>
      <c r="M616" s="57">
        <f>+IF(Table13[[#This Row],[WAYR Last]]&gt;0,IF(Table13[[#This Row],[WAYR Current]]&gt;0,(Table13[[#This Row],[WAYR Current]]-Table13[[#This Row],[WAYR Last]]),""),"")</f>
        <v>0</v>
      </c>
    </row>
    <row r="617" spans="1:13" x14ac:dyDescent="0.2">
      <c r="A617" s="53">
        <v>44706</v>
      </c>
      <c r="B617" s="10" t="s">
        <v>408</v>
      </c>
      <c r="C617" s="10">
        <v>91</v>
      </c>
      <c r="D617" s="10"/>
      <c r="E617" s="14">
        <v>45000</v>
      </c>
      <c r="F617" s="69">
        <v>138189</v>
      </c>
      <c r="G617" s="69">
        <v>60116</v>
      </c>
      <c r="H617" s="37">
        <v>23.65</v>
      </c>
      <c r="I617" s="37">
        <v>24.07</v>
      </c>
      <c r="J617" s="12">
        <f t="array" ref="J61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44798</v>
      </c>
      <c r="K617" s="66">
        <f>IFERROR(Table13[[#This Row],[Bid Accepted]]*(Table13[[#This Row],[WAYR Current]]%/364*Table13[[#This Row],[Days To Maturity]]),0)</f>
        <v>3554.3585000000003</v>
      </c>
      <c r="L617" s="41">
        <f>+Table13[[#This Row],[Bid Accepted]]-Table13[[#This Row],[Amount Offered]]</f>
        <v>15116</v>
      </c>
      <c r="M617" s="57">
        <f>+IF(Table13[[#This Row],[WAYR Last]]&gt;0,IF(Table13[[#This Row],[WAYR Current]]&gt;0,(Table13[[#This Row],[WAYR Current]]-Table13[[#This Row],[WAYR Last]]),""),"")</f>
        <v>-0.42000000000000171</v>
      </c>
    </row>
    <row r="618" spans="1:13" x14ac:dyDescent="0.2">
      <c r="A618" s="53">
        <v>44706</v>
      </c>
      <c r="B618" s="10" t="s">
        <v>409</v>
      </c>
      <c r="C618" s="10">
        <v>182</v>
      </c>
      <c r="D618" s="10"/>
      <c r="E618" s="14">
        <v>22500</v>
      </c>
      <c r="F618" s="69">
        <v>28590</v>
      </c>
      <c r="G618" s="69">
        <v>4272</v>
      </c>
      <c r="H618" s="37">
        <v>24.22</v>
      </c>
      <c r="I618" s="33">
        <v>24.69</v>
      </c>
      <c r="J618" s="12">
        <f t="array" ref="J61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44890</v>
      </c>
      <c r="K618" s="59">
        <f>IFERROR(Table13[[#This Row],[Bid Accepted]]*(Table13[[#This Row],[WAYR Current]]%/364*Table13[[#This Row],[Days To Maturity]]),0)</f>
        <v>517.33920000000001</v>
      </c>
      <c r="L618" s="41">
        <f>+Table13[[#This Row],[Bid Accepted]]-Table13[[#This Row],[Amount Offered]]</f>
        <v>-18228</v>
      </c>
      <c r="M618" s="57">
        <f>+IF(Table13[[#This Row],[WAYR Last]]&gt;0,IF(Table13[[#This Row],[WAYR Current]]&gt;0,(Table13[[#This Row],[WAYR Current]]-Table13[[#This Row],[WAYR Last]]),""),"")</f>
        <v>-0.47000000000000242</v>
      </c>
    </row>
    <row r="619" spans="1:13" x14ac:dyDescent="0.2">
      <c r="A619" s="53">
        <v>44706</v>
      </c>
      <c r="B619" s="10" t="s">
        <v>410</v>
      </c>
      <c r="C619" s="10">
        <v>364</v>
      </c>
      <c r="D619" s="10"/>
      <c r="E619" s="41">
        <v>22500</v>
      </c>
      <c r="F619" s="69">
        <v>46381</v>
      </c>
      <c r="G619" s="69">
        <v>25612</v>
      </c>
      <c r="H619" s="37">
        <v>24.3</v>
      </c>
      <c r="I619" s="33">
        <v>24.5</v>
      </c>
      <c r="J619" s="12">
        <f t="array" ref="J619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45071</v>
      </c>
      <c r="K619" s="59">
        <f>IFERROR(Table13[[#This Row],[Bid Accepted]]*(Table13[[#This Row],[WAYR Current]]%/364*Table13[[#This Row],[Days To Maturity]]),0)</f>
        <v>6223.7159999999994</v>
      </c>
      <c r="L619" s="41">
        <f>+Table13[[#This Row],[Bid Accepted]]-Table13[[#This Row],[Amount Offered]]</f>
        <v>3112</v>
      </c>
      <c r="M619" s="57">
        <f>+IF(Table13[[#This Row],[WAYR Last]]&gt;0,IF(Table13[[#This Row],[WAYR Current]]&gt;0,(Table13[[#This Row],[WAYR Current]]-Table13[[#This Row],[WAYR Last]]),""),"")</f>
        <v>-0.19999999999999929</v>
      </c>
    </row>
    <row r="620" spans="1:13" x14ac:dyDescent="0.2">
      <c r="A620" s="53">
        <v>44713</v>
      </c>
      <c r="B620" s="10" t="s">
        <v>411</v>
      </c>
      <c r="C620" s="10">
        <v>91</v>
      </c>
      <c r="D620" s="10"/>
      <c r="E620" s="14">
        <v>40000</v>
      </c>
      <c r="F620" s="18">
        <v>116954</v>
      </c>
      <c r="G620" s="18">
        <v>37199</v>
      </c>
      <c r="H620" s="37">
        <v>22.75</v>
      </c>
      <c r="I620" s="64">
        <v>23.65</v>
      </c>
      <c r="J620" s="12">
        <f t="array" ref="J62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44805</v>
      </c>
      <c r="K620" s="66">
        <f>IFERROR(Table13[[#This Row],[Bid Accepted]]*(Table13[[#This Row],[WAYR Current]]%/364*Table13[[#This Row],[Days To Maturity]]),0)</f>
        <v>2115.6931250000002</v>
      </c>
      <c r="L620" s="41">
        <f>+Table13[[#This Row],[Bid Accepted]]-Table13[[#This Row],[Amount Offered]]</f>
        <v>-2801</v>
      </c>
      <c r="M620" s="57">
        <f>+IF(Table13[[#This Row],[WAYR Last]]&gt;0,IF(Table13[[#This Row],[WAYR Current]]&gt;0,(Table13[[#This Row],[WAYR Current]]-Table13[[#This Row],[WAYR Last]]),""),"")</f>
        <v>-0.89999999999999858</v>
      </c>
    </row>
    <row r="621" spans="1:13" x14ac:dyDescent="0.2">
      <c r="A621" s="53">
        <v>44713</v>
      </c>
      <c r="B621" s="10" t="s">
        <v>412</v>
      </c>
      <c r="C621" s="10">
        <v>182</v>
      </c>
      <c r="D621" s="10"/>
      <c r="E621" s="14">
        <v>23000</v>
      </c>
      <c r="F621" s="18">
        <v>51826</v>
      </c>
      <c r="G621" s="18">
        <v>25227</v>
      </c>
      <c r="H621" s="33">
        <v>23.6</v>
      </c>
      <c r="I621" s="64">
        <v>24.22</v>
      </c>
      <c r="J621" s="12">
        <f t="array" ref="J62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44896</v>
      </c>
      <c r="K621" s="59">
        <f>IFERROR(Table13[[#This Row],[Bid Accepted]]*(Table13[[#This Row],[WAYR Current]]%/364*Table13[[#This Row],[Days To Maturity]]),0)</f>
        <v>2976.7860000000005</v>
      </c>
      <c r="L621" s="41">
        <f>+Table13[[#This Row],[Bid Accepted]]-Table13[[#This Row],[Amount Offered]]</f>
        <v>2227</v>
      </c>
      <c r="M621" s="57">
        <f>+IF(Table13[[#This Row],[WAYR Last]]&gt;0,IF(Table13[[#This Row],[WAYR Current]]&gt;0,(Table13[[#This Row],[WAYR Current]]-Table13[[#This Row],[WAYR Last]]),""),"")</f>
        <v>-0.61999999999999744</v>
      </c>
    </row>
    <row r="622" spans="1:13" x14ac:dyDescent="0.2">
      <c r="A622" s="53">
        <v>44713</v>
      </c>
      <c r="B622" s="10" t="s">
        <v>413</v>
      </c>
      <c r="C622" s="10">
        <v>364</v>
      </c>
      <c r="D622" s="10"/>
      <c r="E622" s="14">
        <v>20000</v>
      </c>
      <c r="F622" s="18">
        <v>74931</v>
      </c>
      <c r="G622" s="18">
        <v>20574</v>
      </c>
      <c r="H622" s="33">
        <v>23.75</v>
      </c>
      <c r="I622" s="64">
        <v>24.3</v>
      </c>
      <c r="J622" s="12">
        <f t="array" ref="J622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45078</v>
      </c>
      <c r="K622" s="59">
        <f>IFERROR(Table13[[#This Row],[Bid Accepted]]*(Table13[[#This Row],[WAYR Current]]%/364*Table13[[#This Row],[Days To Maturity]]),0)</f>
        <v>4886.3249999999998</v>
      </c>
      <c r="L622" s="41">
        <f>+Table13[[#This Row],[Bid Accepted]]-Table13[[#This Row],[Amount Offered]]</f>
        <v>574</v>
      </c>
      <c r="M622" s="57">
        <f>+IF(Table13[[#This Row],[WAYR Last]]&gt;0,IF(Table13[[#This Row],[WAYR Current]]&gt;0,(Table13[[#This Row],[WAYR Current]]-Table13[[#This Row],[WAYR Last]]),""),"")</f>
        <v>-0.55000000000000071</v>
      </c>
    </row>
    <row r="623" spans="1:13" ht="12.75" customHeight="1" x14ac:dyDescent="0.2">
      <c r="A623" s="53">
        <v>44720</v>
      </c>
      <c r="B623" s="10" t="s">
        <v>414</v>
      </c>
      <c r="C623" s="10">
        <v>91</v>
      </c>
      <c r="D623" s="10" t="s">
        <v>415</v>
      </c>
      <c r="E623" s="14">
        <v>40000</v>
      </c>
      <c r="F623" s="18">
        <v>129196</v>
      </c>
      <c r="G623" s="18">
        <v>55462</v>
      </c>
      <c r="H623" s="37">
        <v>21.91</v>
      </c>
      <c r="I623" s="51">
        <v>22.75</v>
      </c>
      <c r="J623" s="12">
        <f t="array" ref="J62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44812</v>
      </c>
      <c r="K623" s="66">
        <f>IFERROR(Table13[[#This Row],[Bid Accepted]]*(Table13[[#This Row],[WAYR Current]]%/364*Table13[[#This Row],[Days To Maturity]]),0)</f>
        <v>3037.9310500000001</v>
      </c>
      <c r="L623" s="41">
        <f>+Table13[[#This Row],[Bid Accepted]]-Table13[[#This Row],[Amount Offered]]</f>
        <v>15462</v>
      </c>
      <c r="M623" s="57">
        <f>+IF(Table13[[#This Row],[WAYR Last]]&gt;0,IF(Table13[[#This Row],[WAYR Current]]&gt;0,(Table13[[#This Row],[WAYR Current]]-Table13[[#This Row],[WAYR Last]]),""),"")</f>
        <v>-0.83999999999999986</v>
      </c>
    </row>
    <row r="624" spans="1:13" ht="12.75" customHeight="1" x14ac:dyDescent="0.2">
      <c r="A624" s="53">
        <v>44720</v>
      </c>
      <c r="B624" s="10" t="s">
        <v>416</v>
      </c>
      <c r="C624" s="10">
        <v>182</v>
      </c>
      <c r="D624" s="10" t="s">
        <v>415</v>
      </c>
      <c r="E624" s="14">
        <v>30000</v>
      </c>
      <c r="F624" s="18">
        <v>44519</v>
      </c>
      <c r="G624" s="18">
        <v>12891</v>
      </c>
      <c r="H624" s="33">
        <v>22.89</v>
      </c>
      <c r="I624" s="51">
        <v>23.6</v>
      </c>
      <c r="J624" s="12">
        <f t="array" ref="J62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44903</v>
      </c>
      <c r="K624" s="59">
        <f>IFERROR(Table13[[#This Row],[Bid Accepted]]*(Table13[[#This Row],[WAYR Current]]%/364*Table13[[#This Row],[Days To Maturity]]),0)</f>
        <v>1475.3749500000001</v>
      </c>
      <c r="L624" s="41">
        <f>+Table13[[#This Row],[Bid Accepted]]-Table13[[#This Row],[Amount Offered]]</f>
        <v>-17109</v>
      </c>
      <c r="M624" s="57">
        <f>+IF(Table13[[#This Row],[WAYR Last]]&gt;0,IF(Table13[[#This Row],[WAYR Current]]&gt;0,(Table13[[#This Row],[WAYR Current]]-Table13[[#This Row],[WAYR Last]]),""),"")</f>
        <v>-0.71000000000000085</v>
      </c>
    </row>
    <row r="625" spans="1:13" ht="12.75" customHeight="1" x14ac:dyDescent="0.2">
      <c r="A625" s="53">
        <v>44720</v>
      </c>
      <c r="B625" s="10" t="s">
        <v>417</v>
      </c>
      <c r="C625" s="10">
        <v>364</v>
      </c>
      <c r="D625" s="10" t="s">
        <v>415</v>
      </c>
      <c r="E625" s="14">
        <v>28000</v>
      </c>
      <c r="F625" s="18">
        <v>86850</v>
      </c>
      <c r="G625" s="18">
        <v>29647</v>
      </c>
      <c r="H625" s="33">
        <v>23.13</v>
      </c>
      <c r="I625" s="51">
        <v>23.75</v>
      </c>
      <c r="J625" s="12">
        <f t="array" ref="J625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45085</v>
      </c>
      <c r="K625" s="59">
        <f>IFERROR(Table13[[#This Row],[Bid Accepted]]*(Table13[[#This Row],[WAYR Current]]%/364*Table13[[#This Row],[Days To Maturity]]),0)</f>
        <v>6857.351099999999</v>
      </c>
      <c r="L625" s="41">
        <f>+Table13[[#This Row],[Bid Accepted]]-Table13[[#This Row],[Amount Offered]]</f>
        <v>1647</v>
      </c>
      <c r="M625" s="57">
        <f>+IF(Table13[[#This Row],[WAYR Last]]&gt;0,IF(Table13[[#This Row],[WAYR Current]]&gt;0,(Table13[[#This Row],[WAYR Current]]-Table13[[#This Row],[WAYR Last]]),""),"")</f>
        <v>-0.62000000000000099</v>
      </c>
    </row>
    <row r="626" spans="1:13" ht="12.75" customHeight="1" x14ac:dyDescent="0.2">
      <c r="A626" s="9">
        <v>44727</v>
      </c>
      <c r="B626" s="10" t="s">
        <v>418</v>
      </c>
      <c r="C626" s="10">
        <v>91</v>
      </c>
      <c r="D626" s="10" t="s">
        <v>415</v>
      </c>
      <c r="E626" s="14">
        <v>45000</v>
      </c>
      <c r="F626" s="18">
        <v>109108</v>
      </c>
      <c r="G626" s="18">
        <v>67087</v>
      </c>
      <c r="H626" s="37">
        <v>20.73</v>
      </c>
      <c r="I626" s="51">
        <v>21.91</v>
      </c>
      <c r="J626" s="12">
        <f t="array" ref="J62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44819</v>
      </c>
      <c r="K626" s="66">
        <f>IFERROR(Table13[[#This Row],[Bid Accepted]]*(Table13[[#This Row],[WAYR Current]]%/364*Table13[[#This Row],[Days To Maturity]]),0)</f>
        <v>3476.7837749999999</v>
      </c>
      <c r="L626" s="41">
        <f>+Table13[[#This Row],[Bid Accepted]]-Table13[[#This Row],[Amount Offered]]</f>
        <v>22087</v>
      </c>
      <c r="M626" s="57">
        <f>+IF(Table13[[#This Row],[WAYR Last]]&gt;0,IF(Table13[[#This Row],[WAYR Current]]&gt;0,(Table13[[#This Row],[WAYR Current]]-Table13[[#This Row],[WAYR Last]]),""),"")</f>
        <v>-1.1799999999999997</v>
      </c>
    </row>
    <row r="627" spans="1:13" ht="12.75" customHeight="1" x14ac:dyDescent="0.2">
      <c r="A627" s="53">
        <v>44727</v>
      </c>
      <c r="B627" s="10" t="s">
        <v>419</v>
      </c>
      <c r="C627" s="10">
        <v>182</v>
      </c>
      <c r="D627" s="10" t="s">
        <v>415</v>
      </c>
      <c r="E627" s="14">
        <v>25000</v>
      </c>
      <c r="F627" s="18">
        <v>43964</v>
      </c>
      <c r="G627" s="18">
        <v>15479</v>
      </c>
      <c r="H627" s="33">
        <v>21.9</v>
      </c>
      <c r="I627" s="51">
        <v>22.89</v>
      </c>
      <c r="J627" s="12">
        <f t="array" ref="J62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44910</v>
      </c>
      <c r="K627" s="59">
        <f>IFERROR(Table13[[#This Row],[Bid Accepted]]*(Table13[[#This Row],[WAYR Current]]%/364*Table13[[#This Row],[Days To Maturity]]),0)</f>
        <v>1694.9504999999997</v>
      </c>
      <c r="L627" s="41">
        <f>+Table13[[#This Row],[Bid Accepted]]-Table13[[#This Row],[Amount Offered]]</f>
        <v>-9521</v>
      </c>
      <c r="M627" s="57">
        <f>+IF(Table13[[#This Row],[WAYR Last]]&gt;0,IF(Table13[[#This Row],[WAYR Current]]&gt;0,(Table13[[#This Row],[WAYR Current]]-Table13[[#This Row],[WAYR Last]]),""),"")</f>
        <v>-0.99000000000000199</v>
      </c>
    </row>
    <row r="628" spans="1:13" ht="12.75" customHeight="1" x14ac:dyDescent="0.2">
      <c r="A628" s="53">
        <v>44727</v>
      </c>
      <c r="B628" s="10" t="s">
        <v>420</v>
      </c>
      <c r="C628" s="10">
        <v>364</v>
      </c>
      <c r="D628" s="10" t="s">
        <v>415</v>
      </c>
      <c r="E628" s="14">
        <v>28000</v>
      </c>
      <c r="F628" s="18">
        <v>49150</v>
      </c>
      <c r="G628" s="18">
        <v>15434</v>
      </c>
      <c r="H628" s="33">
        <v>22.04</v>
      </c>
      <c r="I628" s="51">
        <v>23.13</v>
      </c>
      <c r="J628" s="12">
        <f t="array" ref="J628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45092</v>
      </c>
      <c r="K628" s="59">
        <f>IFERROR(Table13[[#This Row],[Bid Accepted]]*(Table13[[#This Row],[WAYR Current]]%/364*Table13[[#This Row],[Days To Maturity]]),0)</f>
        <v>3401.6535999999996</v>
      </c>
      <c r="L628" s="41">
        <f>+Table13[[#This Row],[Bid Accepted]]-Table13[[#This Row],[Amount Offered]]</f>
        <v>-12566</v>
      </c>
      <c r="M628" s="57">
        <f>+IF(Table13[[#This Row],[WAYR Last]]&gt;0,IF(Table13[[#This Row],[WAYR Current]]&gt;0,(Table13[[#This Row],[WAYR Current]]-Table13[[#This Row],[WAYR Last]]),""),"")</f>
        <v>-1.0899999999999999</v>
      </c>
    </row>
    <row r="629" spans="1:13" ht="12.75" customHeight="1" x14ac:dyDescent="0.2">
      <c r="A629" s="70">
        <v>44734</v>
      </c>
      <c r="B629" t="s">
        <v>421</v>
      </c>
      <c r="C629" s="5">
        <v>91</v>
      </c>
      <c r="E629" s="48">
        <v>40000</v>
      </c>
      <c r="F629" s="48">
        <v>61042</v>
      </c>
      <c r="G629" s="48">
        <v>19883</v>
      </c>
      <c r="H629">
        <v>20.73</v>
      </c>
      <c r="I629">
        <v>20.73</v>
      </c>
      <c r="J629" s="12">
        <f t="array" ref="J62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44826</v>
      </c>
      <c r="K629" s="59">
        <f>IFERROR(Table13[[#This Row],[Bid Accepted]]*(Table13[[#This Row],[WAYR Current]]%/364*Table13[[#This Row],[Days To Maturity]]),0)</f>
        <v>1030.436475</v>
      </c>
      <c r="L629" s="41">
        <f>+Table13[[#This Row],[Bid Accepted]]-Table13[[#This Row],[Amount Offered]]</f>
        <v>-20117</v>
      </c>
      <c r="M629" s="57">
        <f>+IF(Table13[[#This Row],[WAYR Last]]&gt;0,IF(Table13[[#This Row],[WAYR Current]]&gt;0,(Table13[[#This Row],[WAYR Current]]-Table13[[#This Row],[WAYR Last]]),""),"")</f>
        <v>0</v>
      </c>
    </row>
    <row r="630" spans="1:13" ht="12.75" customHeight="1" x14ac:dyDescent="0.2">
      <c r="A630" s="70">
        <v>44734</v>
      </c>
      <c r="B630" t="s">
        <v>422</v>
      </c>
      <c r="C630" s="10">
        <v>182</v>
      </c>
      <c r="E630" s="48">
        <v>25000</v>
      </c>
      <c r="F630" s="48">
        <v>30200</v>
      </c>
      <c r="G630" s="48">
        <v>5759</v>
      </c>
      <c r="H630">
        <v>21.9</v>
      </c>
      <c r="I630">
        <v>21.9</v>
      </c>
      <c r="J630" s="12">
        <f t="array" ref="J63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44917</v>
      </c>
      <c r="K630" s="59">
        <f>IFERROR(Table13[[#This Row],[Bid Accepted]]*(Table13[[#This Row],[WAYR Current]]%/364*Table13[[#This Row],[Days To Maturity]]),0)</f>
        <v>630.61049999999989</v>
      </c>
      <c r="L630" s="41">
        <f>+Table13[[#This Row],[Bid Accepted]]-Table13[[#This Row],[Amount Offered]]</f>
        <v>-19241</v>
      </c>
      <c r="M630" s="57">
        <f>+IF(Table13[[#This Row],[WAYR Last]]&gt;0,IF(Table13[[#This Row],[WAYR Current]]&gt;0,(Table13[[#This Row],[WAYR Current]]-Table13[[#This Row],[WAYR Last]]),""),"")</f>
        <v>0</v>
      </c>
    </row>
    <row r="631" spans="1:13" ht="12.75" customHeight="1" x14ac:dyDescent="0.2">
      <c r="A631" s="70">
        <v>44734</v>
      </c>
      <c r="B631" t="s">
        <v>423</v>
      </c>
      <c r="C631" s="10">
        <v>364</v>
      </c>
      <c r="E631" s="48">
        <v>28000</v>
      </c>
      <c r="F631" s="48">
        <v>38660</v>
      </c>
      <c r="G631" s="48">
        <v>5137</v>
      </c>
      <c r="H631">
        <v>22.04</v>
      </c>
      <c r="I631">
        <v>22.04</v>
      </c>
      <c r="J631" s="12">
        <f t="array" ref="J631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45099</v>
      </c>
      <c r="K631" s="59">
        <f>IFERROR(Table13[[#This Row],[Bid Accepted]]*(Table13[[#This Row],[WAYR Current]]%/364*Table13[[#This Row],[Days To Maturity]]),0)</f>
        <v>1132.1948</v>
      </c>
      <c r="L631" s="41">
        <f>+Table13[[#This Row],[Bid Accepted]]-Table13[[#This Row],[Amount Offered]]</f>
        <v>-22863</v>
      </c>
      <c r="M631" s="57">
        <f>+IF(Table13[[#This Row],[WAYR Last]]&gt;0,IF(Table13[[#This Row],[WAYR Current]]&gt;0,(Table13[[#This Row],[WAYR Current]]-Table13[[#This Row],[WAYR Last]]),""),"")</f>
        <v>0</v>
      </c>
    </row>
    <row r="632" spans="1:13" ht="12.75" customHeight="1" x14ac:dyDescent="0.2">
      <c r="A632" s="70">
        <v>44741</v>
      </c>
      <c r="B632" t="s">
        <v>424</v>
      </c>
      <c r="C632" s="5">
        <v>91</v>
      </c>
      <c r="E632" s="48">
        <v>37500</v>
      </c>
      <c r="F632" s="48">
        <v>51534</v>
      </c>
      <c r="G632" s="48">
        <v>39334</v>
      </c>
      <c r="H632">
        <v>23.85</v>
      </c>
      <c r="I632">
        <v>20.73</v>
      </c>
      <c r="J632" s="12">
        <f t="array" ref="J63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44833</v>
      </c>
      <c r="K632" s="59">
        <f>IFERROR(Table13[[#This Row],[Bid Accepted]]*(Table13[[#This Row],[WAYR Current]]%/364*Table13[[#This Row],[Days To Maturity]]),0)</f>
        <v>2345.2897500000004</v>
      </c>
      <c r="L632" s="41">
        <f>+Table13[[#This Row],[Bid Accepted]]-Table13[[#This Row],[Amount Offered]]</f>
        <v>1834</v>
      </c>
      <c r="M632" s="57">
        <f>+IF(Table13[[#This Row],[WAYR Last]]&gt;0,IF(Table13[[#This Row],[WAYR Current]]&gt;0,(Table13[[#This Row],[WAYR Current]]-Table13[[#This Row],[WAYR Last]]),""),"")</f>
        <v>3.120000000000001</v>
      </c>
    </row>
    <row r="633" spans="1:13" ht="12.75" customHeight="1" x14ac:dyDescent="0.2">
      <c r="A633" s="70">
        <v>44741</v>
      </c>
      <c r="B633" t="s">
        <v>425</v>
      </c>
      <c r="C633" s="10">
        <v>182</v>
      </c>
      <c r="E633" s="48">
        <v>20000</v>
      </c>
      <c r="F633" s="48">
        <v>33098</v>
      </c>
      <c r="G633" s="48">
        <v>18658</v>
      </c>
      <c r="H633">
        <v>24.4</v>
      </c>
      <c r="I633">
        <v>21.9</v>
      </c>
      <c r="J633" s="12">
        <f t="array" ref="J63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44924</v>
      </c>
      <c r="K633" s="59">
        <f>IFERROR(Table13[[#This Row],[Bid Accepted]]*(Table13[[#This Row],[WAYR Current]]%/364*Table13[[#This Row],[Days To Maturity]]),0)</f>
        <v>2276.2759999999998</v>
      </c>
      <c r="L633" s="41">
        <f>+Table13[[#This Row],[Bid Accepted]]-Table13[[#This Row],[Amount Offered]]</f>
        <v>-1342</v>
      </c>
      <c r="M633" s="57">
        <f>+IF(Table13[[#This Row],[WAYR Last]]&gt;0,IF(Table13[[#This Row],[WAYR Current]]&gt;0,(Table13[[#This Row],[WAYR Current]]-Table13[[#This Row],[WAYR Last]]),""),"")</f>
        <v>2.5</v>
      </c>
    </row>
    <row r="634" spans="1:13" ht="12.75" customHeight="1" x14ac:dyDescent="0.2">
      <c r="A634" s="70">
        <v>44741</v>
      </c>
      <c r="B634" t="s">
        <v>426</v>
      </c>
      <c r="C634" s="10">
        <v>364</v>
      </c>
      <c r="E634" s="48">
        <v>20000</v>
      </c>
      <c r="F634" s="48">
        <v>27547</v>
      </c>
      <c r="G634" s="48">
        <v>13177</v>
      </c>
      <c r="H634">
        <v>23.84</v>
      </c>
      <c r="I634">
        <v>22.04</v>
      </c>
      <c r="J634" s="12">
        <f t="array" ref="J634">_xlfn.IFS(Table13[[#This Row],[Days To Maturity]]=364,EDATE(Table13[[#This Row],[Date_d]],12),Table13[[#This Row],[Days To Maturity]]=182,EDATE(Table13[[#This Row],[Date_d]],6),Table13[[#This Row],[Days To Maturity]]=91,EDATE(Table13[[#This Row],[Date_d]],3))</f>
        <v>45106</v>
      </c>
      <c r="K634" s="59">
        <f>IFERROR(Table13[[#This Row],[Bid Accepted]]*(Table13[[#This Row],[WAYR Current]]%/364*Table13[[#This Row],[Days To Maturity]]),0)</f>
        <v>3141.3968000000004</v>
      </c>
      <c r="L634" s="41">
        <f>+Table13[[#This Row],[Bid Accepted]]-Table13[[#This Row],[Amount Offered]]</f>
        <v>-6823</v>
      </c>
      <c r="M634" s="57">
        <f>+IF(Table13[[#This Row],[WAYR Last]]&gt;0,IF(Table13[[#This Row],[WAYR Current]]&gt;0,(Table13[[#This Row],[WAYR Current]]-Table13[[#This Row],[WAYR Last]]),""),"")</f>
        <v>1.8000000000000007</v>
      </c>
    </row>
    <row r="635" spans="1:13" ht="12.75" customHeight="1" x14ac:dyDescent="0.2">
      <c r="A635" s="70">
        <v>44748</v>
      </c>
      <c r="B635" t="s">
        <v>427</v>
      </c>
      <c r="C635" s="5">
        <v>91</v>
      </c>
      <c r="E635" s="48">
        <v>35000</v>
      </c>
      <c r="F635" s="48">
        <v>47213</v>
      </c>
      <c r="G635" s="48">
        <v>43163</v>
      </c>
      <c r="H635">
        <v>28.08</v>
      </c>
      <c r="I635">
        <v>23.85</v>
      </c>
      <c r="J635" s="12">
        <f t="array" ref="J63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44840</v>
      </c>
      <c r="K635" s="59">
        <f>IFERROR(Table13[[#This Row],[Bid Accepted]]*(Table13[[#This Row],[WAYR Current]]%/364*Table13[[#This Row],[Days To Maturity]]),0)</f>
        <v>3030.0425999999998</v>
      </c>
      <c r="L635" s="41">
        <f>+Table13[[#This Row],[Bid Accepted]]-Table13[[#This Row],[Amount Offered]]</f>
        <v>8163</v>
      </c>
      <c r="M635" s="57">
        <f>+IF(Table13[[#This Row],[WAYR Last]]&gt;0,IF(Table13[[#This Row],[WAYR Current]]&gt;0,(Table13[[#This Row],[WAYR Current]]-Table13[[#This Row],[WAYR Last]]),""),"")</f>
        <v>4.2299999999999969</v>
      </c>
    </row>
    <row r="636" spans="1:13" ht="12.75" customHeight="1" x14ac:dyDescent="0.2">
      <c r="A636" s="70">
        <v>44748</v>
      </c>
      <c r="B636" t="s">
        <v>428</v>
      </c>
      <c r="C636" s="10">
        <v>182</v>
      </c>
      <c r="E636" s="48">
        <v>17500</v>
      </c>
      <c r="F636" s="48">
        <v>18659</v>
      </c>
      <c r="G636" s="48">
        <v>15809</v>
      </c>
      <c r="H636">
        <v>28.74</v>
      </c>
      <c r="I636">
        <v>24.4</v>
      </c>
      <c r="J636" s="12">
        <f t="array" ref="J63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44932</v>
      </c>
      <c r="K636" s="59">
        <f>IFERROR(Table13[[#This Row],[Bid Accepted]]*(Table13[[#This Row],[WAYR Current]]%/364*Table13[[#This Row],[Days To Maturity]]),0)</f>
        <v>2271.7532999999999</v>
      </c>
      <c r="L636" s="41">
        <f>+Table13[[#This Row],[Bid Accepted]]-Table13[[#This Row],[Amount Offered]]</f>
        <v>-1691</v>
      </c>
      <c r="M636" s="57">
        <f>+IF(Table13[[#This Row],[WAYR Last]]&gt;0,IF(Table13[[#This Row],[WAYR Current]]&gt;0,(Table13[[#This Row],[WAYR Current]]-Table13[[#This Row],[WAYR Last]]),""),"")</f>
        <v>4.34</v>
      </c>
    </row>
    <row r="637" spans="1:13" ht="12.75" customHeight="1" x14ac:dyDescent="0.2">
      <c r="A637" s="70">
        <v>44748</v>
      </c>
      <c r="B637" t="s">
        <v>429</v>
      </c>
      <c r="C637" s="10">
        <v>364</v>
      </c>
      <c r="E637" s="48">
        <v>17500</v>
      </c>
      <c r="F637" s="48">
        <v>17994</v>
      </c>
      <c r="G637" s="48">
        <v>11028</v>
      </c>
      <c r="H637">
        <v>28.11</v>
      </c>
      <c r="I637">
        <v>23.84</v>
      </c>
      <c r="J637" s="12">
        <f t="array" ref="J637">_xlfn.IFS(Table13[[#This Row],[Days To Maturity]]=364,EDATE(Table13[[#This Row],[Date_d]],12),Table13[[#This Row],[Days To Maturity]]=182,EDATE(Table13[[#This Row],[Date_d]],6),Table13[[#This Row],[Days To Maturity]]=91,EDATE(Table13[[#This Row],[Date_d]],3))</f>
        <v>45113</v>
      </c>
      <c r="K637" s="59">
        <f>IFERROR(Table13[[#This Row],[Bid Accepted]]*(Table13[[#This Row],[WAYR Current]]%/364*Table13[[#This Row],[Days To Maturity]]),0)</f>
        <v>3099.9708000000001</v>
      </c>
      <c r="L637" s="41">
        <f>+Table13[[#This Row],[Bid Accepted]]-Table13[[#This Row],[Amount Offered]]</f>
        <v>-6472</v>
      </c>
      <c r="M637" s="57">
        <f>+IF(Table13[[#This Row],[WAYR Last]]&gt;0,IF(Table13[[#This Row],[WAYR Current]]&gt;0,(Table13[[#This Row],[WAYR Current]]-Table13[[#This Row],[WAYR Last]]),""),"")</f>
        <v>4.2699999999999996</v>
      </c>
    </row>
    <row r="638" spans="1:13" ht="12.75" customHeight="1" x14ac:dyDescent="0.2">
      <c r="A638" s="70">
        <v>44754</v>
      </c>
      <c r="B638" t="s">
        <v>430</v>
      </c>
      <c r="C638" s="5">
        <v>91</v>
      </c>
      <c r="D638" t="s">
        <v>415</v>
      </c>
      <c r="E638">
        <v>32000</v>
      </c>
      <c r="F638">
        <v>66729</v>
      </c>
      <c r="G638">
        <v>49853</v>
      </c>
      <c r="H638">
        <v>32.11</v>
      </c>
      <c r="I638">
        <v>28.08</v>
      </c>
      <c r="J638" s="12">
        <f t="array" ref="J63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44846</v>
      </c>
      <c r="K638" s="59">
        <f>IFERROR(Table13[[#This Row],[Bid Accepted]]*(Table13[[#This Row],[WAYR Current]]%/364*Table13[[#This Row],[Days To Maturity]]),0)</f>
        <v>4001.9495750000001</v>
      </c>
      <c r="L638" s="41">
        <f>+Table13[[#This Row],[Bid Accepted]]-Table13[[#This Row],[Amount Offered]]</f>
        <v>17853</v>
      </c>
      <c r="M638" s="57">
        <f>+IF(Table13[[#This Row],[WAYR Last]]&gt;0,IF(Table13[[#This Row],[WAYR Current]]&gt;0,(Table13[[#This Row],[WAYR Current]]-Table13[[#This Row],[WAYR Last]]),""),"")</f>
        <v>4.0300000000000011</v>
      </c>
    </row>
    <row r="639" spans="1:13" ht="12.75" customHeight="1" x14ac:dyDescent="0.2">
      <c r="A639" s="70">
        <v>44754</v>
      </c>
      <c r="B639" t="s">
        <v>431</v>
      </c>
      <c r="C639" s="10">
        <v>182</v>
      </c>
      <c r="D639" t="s">
        <v>415</v>
      </c>
      <c r="E639">
        <v>16500</v>
      </c>
      <c r="F639">
        <v>17955</v>
      </c>
      <c r="G639">
        <v>1802</v>
      </c>
      <c r="H639">
        <v>31.01</v>
      </c>
      <c r="I639">
        <v>28.74</v>
      </c>
      <c r="J639" s="12">
        <f t="array" ref="J63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44938</v>
      </c>
      <c r="K639" s="59">
        <f>IFERROR(Table13[[#This Row],[Bid Accepted]]*(Table13[[#This Row],[WAYR Current]]%/364*Table13[[#This Row],[Days To Maturity]]),0)</f>
        <v>279.40010000000007</v>
      </c>
      <c r="L639" s="41">
        <f>+Table13[[#This Row],[Bid Accepted]]-Table13[[#This Row],[Amount Offered]]</f>
        <v>-14698</v>
      </c>
      <c r="M639" s="57">
        <f>+IF(Table13[[#This Row],[WAYR Last]]&gt;0,IF(Table13[[#This Row],[WAYR Current]]&gt;0,(Table13[[#This Row],[WAYR Current]]-Table13[[#This Row],[WAYR Last]]),""),"")</f>
        <v>2.2700000000000031</v>
      </c>
    </row>
    <row r="640" spans="1:13" ht="12.75" customHeight="1" x14ac:dyDescent="0.2">
      <c r="A640" s="70">
        <v>44754</v>
      </c>
      <c r="B640" t="s">
        <v>432</v>
      </c>
      <c r="C640" s="10">
        <v>364</v>
      </c>
      <c r="D640" t="s">
        <v>415</v>
      </c>
      <c r="E640">
        <v>16500</v>
      </c>
      <c r="F640">
        <v>17883</v>
      </c>
      <c r="G640">
        <v>2059</v>
      </c>
      <c r="H640">
        <v>29.87</v>
      </c>
      <c r="I640">
        <v>28.11</v>
      </c>
      <c r="J640" s="12">
        <f t="array" ref="J640">_xlfn.IFS(Table13[[#This Row],[Days To Maturity]]=364,EDATE(Table13[[#This Row],[Date_d]],12),Table13[[#This Row],[Days To Maturity]]=182,EDATE(Table13[[#This Row],[Date_d]],6),Table13[[#This Row],[Days To Maturity]]=91,EDATE(Table13[[#This Row],[Date_d]],3))</f>
        <v>45119</v>
      </c>
      <c r="K640" s="59">
        <f>IFERROR(Table13[[#This Row],[Bid Accepted]]*(Table13[[#This Row],[WAYR Current]]%/364*Table13[[#This Row],[Days To Maturity]]),0)</f>
        <v>615.02330000000006</v>
      </c>
      <c r="L640" s="41">
        <f>+Table13[[#This Row],[Bid Accepted]]-Table13[[#This Row],[Amount Offered]]</f>
        <v>-14441</v>
      </c>
      <c r="M640" s="57">
        <f>+IF(Table13[[#This Row],[WAYR Last]]&gt;0,IF(Table13[[#This Row],[WAYR Current]]&gt;0,(Table13[[#This Row],[WAYR Current]]-Table13[[#This Row],[WAYR Last]]),""),"")</f>
        <v>1.7600000000000016</v>
      </c>
    </row>
    <row r="641" spans="1:13" ht="12.75" customHeight="1" x14ac:dyDescent="0.2">
      <c r="A641" s="70">
        <v>44762</v>
      </c>
      <c r="B641" t="s">
        <v>433</v>
      </c>
      <c r="C641" s="5">
        <v>91</v>
      </c>
      <c r="E641" s="48">
        <v>25000</v>
      </c>
      <c r="F641" s="48">
        <v>113896</v>
      </c>
      <c r="G641" s="48">
        <v>45276</v>
      </c>
      <c r="H641">
        <v>31.5</v>
      </c>
      <c r="I641">
        <v>32.11</v>
      </c>
      <c r="J641" s="12">
        <f t="array" ref="J64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44854</v>
      </c>
      <c r="K641" s="59">
        <f>IFERROR(Table13[[#This Row],[Bid Accepted]]*(Table13[[#This Row],[WAYR Current]]%/364*Table13[[#This Row],[Days To Maturity]]),0)</f>
        <v>3565.4850000000001</v>
      </c>
      <c r="L641" s="41">
        <f>+Table13[[#This Row],[Bid Accepted]]-Table13[[#This Row],[Amount Offered]]</f>
        <v>20276</v>
      </c>
      <c r="M641" s="57">
        <f>+IF(Table13[[#This Row],[WAYR Last]]&gt;0,IF(Table13[[#This Row],[WAYR Current]]&gt;0,(Table13[[#This Row],[WAYR Current]]-Table13[[#This Row],[WAYR Last]]),""),"")</f>
        <v>-0.60999999999999943</v>
      </c>
    </row>
    <row r="642" spans="1:13" ht="12.75" customHeight="1" x14ac:dyDescent="0.2">
      <c r="A642" s="70">
        <v>44762</v>
      </c>
      <c r="B642" t="s">
        <v>434</v>
      </c>
      <c r="C642" s="10">
        <v>182</v>
      </c>
      <c r="E642" s="48">
        <v>15000</v>
      </c>
      <c r="F642" s="48">
        <v>20298</v>
      </c>
      <c r="G642">
        <v>230</v>
      </c>
      <c r="H642">
        <v>29.97</v>
      </c>
      <c r="I642">
        <v>31.01</v>
      </c>
      <c r="J642" s="12">
        <f t="array" ref="J64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44946</v>
      </c>
      <c r="K642" s="59">
        <f>IFERROR(Table13[[#This Row],[Bid Accepted]]*(Table13[[#This Row],[WAYR Current]]%/364*Table13[[#This Row],[Days To Maturity]]),0)</f>
        <v>34.465499999999999</v>
      </c>
      <c r="L642" s="41">
        <f>+Table13[[#This Row],[Bid Accepted]]-Table13[[#This Row],[Amount Offered]]</f>
        <v>-14770</v>
      </c>
      <c r="M642" s="57">
        <f>+IF(Table13[[#This Row],[WAYR Last]]&gt;0,IF(Table13[[#This Row],[WAYR Current]]&gt;0,(Table13[[#This Row],[WAYR Current]]-Table13[[#This Row],[WAYR Last]]),""),"")</f>
        <v>-1.0400000000000027</v>
      </c>
    </row>
    <row r="643" spans="1:13" ht="12.75" customHeight="1" x14ac:dyDescent="0.2">
      <c r="A643" s="70">
        <v>44762</v>
      </c>
      <c r="B643" t="s">
        <v>435</v>
      </c>
      <c r="C643" s="10">
        <v>364</v>
      </c>
      <c r="E643" s="48">
        <v>15000</v>
      </c>
      <c r="F643" s="48">
        <v>25072</v>
      </c>
      <c r="G643" s="48">
        <v>9494</v>
      </c>
      <c r="H643">
        <v>29.82</v>
      </c>
      <c r="I643">
        <v>29.87</v>
      </c>
      <c r="J643" s="12">
        <f t="array" ref="J643">_xlfn.IFS(Table13[[#This Row],[Days To Maturity]]=364,EDATE(Table13[[#This Row],[Date_d]],12),Table13[[#This Row],[Days To Maturity]]=182,EDATE(Table13[[#This Row],[Date_d]],6),Table13[[#This Row],[Days To Maturity]]=91,EDATE(Table13[[#This Row],[Date_d]],3))</f>
        <v>45127</v>
      </c>
      <c r="K643" s="59">
        <f>IFERROR(Table13[[#This Row],[Bid Accepted]]*(Table13[[#This Row],[WAYR Current]]%/364*Table13[[#This Row],[Days To Maturity]]),0)</f>
        <v>2831.1108000000004</v>
      </c>
      <c r="L643" s="41">
        <f>+Table13[[#This Row],[Bid Accepted]]-Table13[[#This Row],[Amount Offered]]</f>
        <v>-5506</v>
      </c>
      <c r="M643" s="57">
        <f>+IF(Table13[[#This Row],[WAYR Last]]&gt;0,IF(Table13[[#This Row],[WAYR Current]]&gt;0,(Table13[[#This Row],[WAYR Current]]-Table13[[#This Row],[WAYR Last]]),""),"")</f>
        <v>-5.0000000000000711E-2</v>
      </c>
    </row>
    <row r="644" spans="1:13" ht="12.75" customHeight="1" x14ac:dyDescent="0.2">
      <c r="A644" s="9">
        <v>44769</v>
      </c>
      <c r="B644" s="10" t="s">
        <v>436</v>
      </c>
      <c r="C644" s="10">
        <v>91</v>
      </c>
      <c r="D644" s="10"/>
      <c r="E644" s="14">
        <v>37500</v>
      </c>
      <c r="F644" s="18">
        <v>119744</v>
      </c>
      <c r="G644" s="18">
        <v>60434</v>
      </c>
      <c r="H644" s="37">
        <v>28.86</v>
      </c>
      <c r="I644" s="51">
        <v>31.5</v>
      </c>
      <c r="J644" s="12">
        <f t="array" ref="J64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44861</v>
      </c>
      <c r="K644" s="66">
        <f>IFERROR(Table13[[#This Row],[Bid Accepted]]*(Table13[[#This Row],[WAYR Current]]%/364*Table13[[#This Row],[Days To Maturity]]),0)</f>
        <v>4360.3130999999994</v>
      </c>
      <c r="L644" s="41">
        <f>+Table13[[#This Row],[Bid Accepted]]-Table13[[#This Row],[Amount Offered]]</f>
        <v>22934</v>
      </c>
      <c r="M644" s="57">
        <f>+IF(Table13[[#This Row],[WAYR Last]]&gt;0,IF(Table13[[#This Row],[WAYR Current]]&gt;0,(Table13[[#This Row],[WAYR Current]]-Table13[[#This Row],[WAYR Last]]),""),"")</f>
        <v>-2.6400000000000006</v>
      </c>
    </row>
    <row r="645" spans="1:13" ht="12.75" customHeight="1" x14ac:dyDescent="0.2">
      <c r="A645" s="9">
        <v>44769</v>
      </c>
      <c r="B645" s="10" t="s">
        <v>437</v>
      </c>
      <c r="C645" s="10">
        <v>182</v>
      </c>
      <c r="D645" s="10"/>
      <c r="E645" s="14">
        <v>25000</v>
      </c>
      <c r="F645" s="18">
        <v>30554</v>
      </c>
      <c r="G645" s="18">
        <v>10190</v>
      </c>
      <c r="H645" s="33">
        <v>29.24</v>
      </c>
      <c r="I645" s="51">
        <v>29.97</v>
      </c>
      <c r="J645" s="12">
        <f t="array" ref="J64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44953</v>
      </c>
      <c r="K645" s="59">
        <f>IFERROR(Table13[[#This Row],[Bid Accepted]]*(Table13[[#This Row],[WAYR Current]]%/364*Table13[[#This Row],[Days To Maturity]]),0)</f>
        <v>1489.778</v>
      </c>
      <c r="L645" s="41">
        <f>+Table13[[#This Row],[Bid Accepted]]-Table13[[#This Row],[Amount Offered]]</f>
        <v>-14810</v>
      </c>
      <c r="M645" s="57">
        <f>+IF(Table13[[#This Row],[WAYR Last]]&gt;0,IF(Table13[[#This Row],[WAYR Current]]&gt;0,(Table13[[#This Row],[WAYR Current]]-Table13[[#This Row],[WAYR Last]]),""),"")</f>
        <v>-0.73000000000000043</v>
      </c>
    </row>
    <row r="646" spans="1:13" ht="12.75" customHeight="1" x14ac:dyDescent="0.2">
      <c r="A646" s="9">
        <v>44769</v>
      </c>
      <c r="B646" s="10" t="s">
        <v>438</v>
      </c>
      <c r="C646" s="10">
        <v>364</v>
      </c>
      <c r="D646" s="10"/>
      <c r="E646" s="14">
        <v>22500</v>
      </c>
      <c r="F646" s="18">
        <v>33261</v>
      </c>
      <c r="G646" s="18">
        <v>14376</v>
      </c>
      <c r="H646" s="33">
        <v>29.53</v>
      </c>
      <c r="I646" s="51">
        <v>29.8</v>
      </c>
      <c r="J646" s="12">
        <f t="array" ref="J646">_xlfn.IFS(Table13[[#This Row],[Days To Maturity]]=364,EDATE(Table13[[#This Row],[Date_d]],12),Table13[[#This Row],[Days To Maturity]]=182,EDATE(Table13[[#This Row],[Date_d]],6),Table13[[#This Row],[Days To Maturity]]=91,EDATE(Table13[[#This Row],[Date_d]],3))</f>
        <v>45134</v>
      </c>
      <c r="K646" s="59">
        <f>IFERROR(Table13[[#This Row],[Bid Accepted]]*(Table13[[#This Row],[WAYR Current]]%/364*Table13[[#This Row],[Days To Maturity]]),0)</f>
        <v>4245.2327999999998</v>
      </c>
      <c r="L646" s="41">
        <f>+Table13[[#This Row],[Bid Accepted]]-Table13[[#This Row],[Amount Offered]]</f>
        <v>-8124</v>
      </c>
      <c r="M646" s="57">
        <f>+IF(Table13[[#This Row],[WAYR Last]]&gt;0,IF(Table13[[#This Row],[WAYR Current]]&gt;0,(Table13[[#This Row],[WAYR Current]]-Table13[[#This Row],[WAYR Last]]),""),"")</f>
        <v>-0.26999999999999957</v>
      </c>
    </row>
    <row r="647" spans="1:13" ht="12.75" customHeight="1" x14ac:dyDescent="0.2">
      <c r="A647" s="9">
        <v>44776</v>
      </c>
      <c r="B647" s="10" t="s">
        <v>439</v>
      </c>
      <c r="C647" s="10">
        <v>91</v>
      </c>
      <c r="D647" s="10"/>
      <c r="E647" s="14">
        <v>35000</v>
      </c>
      <c r="F647" s="18">
        <v>127930</v>
      </c>
      <c r="G647" s="18">
        <v>62453</v>
      </c>
      <c r="H647" s="37">
        <v>27.72</v>
      </c>
      <c r="I647" s="51">
        <v>28.86</v>
      </c>
      <c r="J647" s="12">
        <f t="array" ref="J64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44868</v>
      </c>
      <c r="K647" s="66">
        <f>IFERROR(Table13[[#This Row],[Bid Accepted]]*(Table13[[#This Row],[WAYR Current]]%/364*Table13[[#This Row],[Days To Maturity]]),0)</f>
        <v>4327.9929000000002</v>
      </c>
      <c r="L647" s="41">
        <f>+Table13[[#This Row],[Bid Accepted]]-Table13[[#This Row],[Amount Offered]]</f>
        <v>27453</v>
      </c>
      <c r="M647" s="57">
        <f>+IF(Table13[[#This Row],[WAYR Last]]&gt;0,IF(Table13[[#This Row],[WAYR Current]]&gt;0,(Table13[[#This Row],[WAYR Current]]-Table13[[#This Row],[WAYR Last]]),""),"")</f>
        <v>-1.1400000000000006</v>
      </c>
    </row>
    <row r="648" spans="1:13" ht="12.75" customHeight="1" x14ac:dyDescent="0.2">
      <c r="A648" s="9">
        <v>44776</v>
      </c>
      <c r="B648" s="10" t="s">
        <v>440</v>
      </c>
      <c r="C648" s="10">
        <v>182</v>
      </c>
      <c r="D648" s="10"/>
      <c r="E648" s="14">
        <v>27500</v>
      </c>
      <c r="F648" s="18">
        <v>29761</v>
      </c>
      <c r="G648" s="18">
        <v>10037</v>
      </c>
      <c r="H648" s="33">
        <v>28.97</v>
      </c>
      <c r="I648" s="51">
        <v>29.24</v>
      </c>
      <c r="J648" s="12">
        <f t="array" ref="J64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44960</v>
      </c>
      <c r="K648" s="59">
        <f>IFERROR(Table13[[#This Row],[Bid Accepted]]*(Table13[[#This Row],[WAYR Current]]%/364*Table13[[#This Row],[Days To Maturity]]),0)</f>
        <v>1453.8594500000002</v>
      </c>
      <c r="L648" s="41">
        <f>+Table13[[#This Row],[Bid Accepted]]-Table13[[#This Row],[Amount Offered]]</f>
        <v>-17463</v>
      </c>
      <c r="M648" s="57">
        <f>+IF(Table13[[#This Row],[WAYR Last]]&gt;0,IF(Table13[[#This Row],[WAYR Current]]&gt;0,(Table13[[#This Row],[WAYR Current]]-Table13[[#This Row],[WAYR Last]]),""),"")</f>
        <v>-0.26999999999999957</v>
      </c>
    </row>
    <row r="649" spans="1:13" ht="12.75" customHeight="1" x14ac:dyDescent="0.2">
      <c r="A649" s="9">
        <v>44776</v>
      </c>
      <c r="B649" s="10" t="s">
        <v>441</v>
      </c>
      <c r="C649" s="10">
        <v>364</v>
      </c>
      <c r="D649" s="10"/>
      <c r="E649" s="14">
        <v>25000</v>
      </c>
      <c r="F649" s="18">
        <v>33009</v>
      </c>
      <c r="G649" s="18">
        <v>15010</v>
      </c>
      <c r="H649" s="33">
        <v>29.19</v>
      </c>
      <c r="I649" s="51">
        <v>29.53</v>
      </c>
      <c r="J649" s="12">
        <f t="array" ref="J649">_xlfn.IFS(Table13[[#This Row],[Days To Maturity]]=364,EDATE(Table13[[#This Row],[Date_d]],12),Table13[[#This Row],[Days To Maturity]]=182,EDATE(Table13[[#This Row],[Date_d]],6),Table13[[#This Row],[Days To Maturity]]=91,EDATE(Table13[[#This Row],[Date_d]],3))</f>
        <v>45141</v>
      </c>
      <c r="K649" s="59">
        <f>IFERROR(Table13[[#This Row],[Bid Accepted]]*(Table13[[#This Row],[WAYR Current]]%/364*Table13[[#This Row],[Days To Maturity]]),0)</f>
        <v>4381.4189999999999</v>
      </c>
      <c r="L649" s="41">
        <f>+Table13[[#This Row],[Bid Accepted]]-Table13[[#This Row],[Amount Offered]]</f>
        <v>-9990</v>
      </c>
      <c r="M649" s="57">
        <f>+IF(Table13[[#This Row],[WAYR Last]]&gt;0,IF(Table13[[#This Row],[WAYR Current]]&gt;0,(Table13[[#This Row],[WAYR Current]]-Table13[[#This Row],[WAYR Last]]),""),"")</f>
        <v>-0.33999999999999986</v>
      </c>
    </row>
    <row r="650" spans="1:13" ht="12.75" customHeight="1" x14ac:dyDescent="0.2">
      <c r="A650" s="9">
        <v>44782</v>
      </c>
      <c r="B650" s="10" t="s">
        <v>442</v>
      </c>
      <c r="C650" s="10">
        <v>91</v>
      </c>
      <c r="D650" s="10" t="s">
        <v>415</v>
      </c>
      <c r="E650" s="14">
        <v>35000</v>
      </c>
      <c r="F650" s="18">
        <v>79729</v>
      </c>
      <c r="G650" s="18">
        <v>60329</v>
      </c>
      <c r="H650" s="37">
        <v>28.43</v>
      </c>
      <c r="I650" s="51">
        <v>27.72</v>
      </c>
      <c r="J650" s="12">
        <f t="array" ref="J65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44874</v>
      </c>
      <c r="K650" s="66">
        <f>IFERROR(Table13[[#This Row],[Bid Accepted]]*(Table13[[#This Row],[WAYR Current]]%/364*Table13[[#This Row],[Days To Maturity]]),0)</f>
        <v>4287.883675</v>
      </c>
      <c r="L650" s="41">
        <f>+Table13[[#This Row],[Bid Accepted]]-Table13[[#This Row],[Amount Offered]]</f>
        <v>25329</v>
      </c>
      <c r="M650" s="57">
        <f>+IF(Table13[[#This Row],[WAYR Last]]&gt;0,IF(Table13[[#This Row],[WAYR Current]]&gt;0,(Table13[[#This Row],[WAYR Current]]-Table13[[#This Row],[WAYR Last]]),""),"")</f>
        <v>0.71000000000000085</v>
      </c>
    </row>
    <row r="651" spans="1:13" ht="12.75" customHeight="1" x14ac:dyDescent="0.2">
      <c r="A651" s="9">
        <v>44782</v>
      </c>
      <c r="B651" s="10" t="s">
        <v>443</v>
      </c>
      <c r="C651" s="10">
        <v>182</v>
      </c>
      <c r="D651" s="10" t="s">
        <v>415</v>
      </c>
      <c r="E651" s="14">
        <v>25000</v>
      </c>
      <c r="F651" s="18">
        <v>24117</v>
      </c>
      <c r="G651" s="18">
        <v>1646</v>
      </c>
      <c r="H651" s="33">
        <v>28.97</v>
      </c>
      <c r="I651" s="51">
        <v>28.97</v>
      </c>
      <c r="J651" s="12">
        <f t="array" ref="J65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44966</v>
      </c>
      <c r="K651" s="59">
        <f>IFERROR(Table13[[#This Row],[Bid Accepted]]*(Table13[[#This Row],[WAYR Current]]%/364*Table13[[#This Row],[Days To Maturity]]),0)</f>
        <v>238.42310000000001</v>
      </c>
      <c r="L651" s="41">
        <f>+Table13[[#This Row],[Bid Accepted]]-Table13[[#This Row],[Amount Offered]]</f>
        <v>-23354</v>
      </c>
      <c r="M651" s="57">
        <f>+IF(Table13[[#This Row],[WAYR Last]]&gt;0,IF(Table13[[#This Row],[WAYR Current]]&gt;0,(Table13[[#This Row],[WAYR Current]]-Table13[[#This Row],[WAYR Last]]),""),"")</f>
        <v>0</v>
      </c>
    </row>
    <row r="652" spans="1:13" ht="12.75" customHeight="1" x14ac:dyDescent="0.2">
      <c r="A652" s="9">
        <v>44782</v>
      </c>
      <c r="B652" s="10" t="s">
        <v>444</v>
      </c>
      <c r="C652" s="10">
        <v>364</v>
      </c>
      <c r="D652" s="10" t="s">
        <v>415</v>
      </c>
      <c r="E652" s="14">
        <v>25000</v>
      </c>
      <c r="F652" s="18">
        <v>24789</v>
      </c>
      <c r="G652" s="18">
        <v>3924</v>
      </c>
      <c r="H652" s="33">
        <v>29.15</v>
      </c>
      <c r="I652" s="51">
        <v>29.19</v>
      </c>
      <c r="J652" s="12">
        <f t="array" ref="J652">_xlfn.IFS(Table13[[#This Row],[Days To Maturity]]=364,EDATE(Table13[[#This Row],[Date_d]],12),Table13[[#This Row],[Days To Maturity]]=182,EDATE(Table13[[#This Row],[Date_d]],6),Table13[[#This Row],[Days To Maturity]]=91,EDATE(Table13[[#This Row],[Date_d]],3))</f>
        <v>45147</v>
      </c>
      <c r="K652" s="59">
        <f>IFERROR(Table13[[#This Row],[Bid Accepted]]*(Table13[[#This Row],[WAYR Current]]%/364*Table13[[#This Row],[Days To Maturity]]),0)</f>
        <v>1143.846</v>
      </c>
      <c r="L652" s="41">
        <f>+Table13[[#This Row],[Bid Accepted]]-Table13[[#This Row],[Amount Offered]]</f>
        <v>-21076</v>
      </c>
      <c r="M652" s="57">
        <f>+IF(Table13[[#This Row],[WAYR Last]]&gt;0,IF(Table13[[#This Row],[WAYR Current]]&gt;0,(Table13[[#This Row],[WAYR Current]]-Table13[[#This Row],[WAYR Last]]),""),"")</f>
        <v>-4.00000000000027E-2</v>
      </c>
    </row>
    <row r="653" spans="1:13" x14ac:dyDescent="0.2">
      <c r="A653" s="9">
        <v>44790</v>
      </c>
      <c r="B653" s="10" t="s">
        <v>445</v>
      </c>
      <c r="C653" s="10">
        <v>91</v>
      </c>
      <c r="D653" s="10"/>
      <c r="E653" s="14">
        <v>30000</v>
      </c>
      <c r="F653" s="18">
        <v>65629</v>
      </c>
      <c r="G653" s="18">
        <v>50004</v>
      </c>
      <c r="H653" s="37">
        <v>29.44</v>
      </c>
      <c r="I653" s="65">
        <v>28.43</v>
      </c>
      <c r="J653" s="12">
        <f t="array" ref="J65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44882</v>
      </c>
      <c r="K653" s="66">
        <f>IFERROR(Table13[[#This Row],[Bid Accepted]]*(Table13[[#This Row],[WAYR Current]]%/364*Table13[[#This Row],[Days To Maturity]]),0)</f>
        <v>3680.2943999999998</v>
      </c>
      <c r="L653" s="41">
        <f>+Table13[[#This Row],[Bid Accepted]]-Table13[[#This Row],[Amount Offered]]</f>
        <v>20004</v>
      </c>
      <c r="M653" s="57">
        <f>+IF(Table13[[#This Row],[WAYR Last]]&gt;0,IF(Table13[[#This Row],[WAYR Current]]&gt;0,(Table13[[#This Row],[WAYR Current]]-Table13[[#This Row],[WAYR Last]]),""),"")</f>
        <v>1.0100000000000016</v>
      </c>
    </row>
    <row r="654" spans="1:13" x14ac:dyDescent="0.2">
      <c r="A654" s="53">
        <v>44790</v>
      </c>
      <c r="B654" s="10" t="s">
        <v>446</v>
      </c>
      <c r="C654" s="10">
        <v>182</v>
      </c>
      <c r="D654" s="10"/>
      <c r="E654" s="14">
        <v>15000</v>
      </c>
      <c r="F654" s="18">
        <v>21640</v>
      </c>
      <c r="G654" s="18">
        <v>6113</v>
      </c>
      <c r="H654" s="33">
        <v>28.96</v>
      </c>
      <c r="I654" s="65">
        <v>28.97</v>
      </c>
      <c r="J654" s="12">
        <f t="array" ref="J65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44974</v>
      </c>
      <c r="K654" s="59">
        <f>IFERROR(Table13[[#This Row],[Bid Accepted]]*(Table13[[#This Row],[WAYR Current]]%/364*Table13[[#This Row],[Days To Maturity]]),0)</f>
        <v>885.16240000000005</v>
      </c>
      <c r="L654" s="41">
        <f>+Table13[[#This Row],[Bid Accepted]]-Table13[[#This Row],[Amount Offered]]</f>
        <v>-8887</v>
      </c>
      <c r="M654" s="57">
        <f>+IF(Table13[[#This Row],[WAYR Last]]&gt;0,IF(Table13[[#This Row],[WAYR Current]]&gt;0,(Table13[[#This Row],[WAYR Current]]-Table13[[#This Row],[WAYR Last]]),""),"")</f>
        <v>-9.9999999999980105E-3</v>
      </c>
    </row>
    <row r="655" spans="1:13" x14ac:dyDescent="0.2">
      <c r="A655" s="53">
        <v>44790</v>
      </c>
      <c r="B655" s="10" t="s">
        <v>447</v>
      </c>
      <c r="C655" s="10">
        <v>364</v>
      </c>
      <c r="D655" s="10"/>
      <c r="E655" s="14">
        <v>15000</v>
      </c>
      <c r="F655" s="18">
        <v>17555</v>
      </c>
      <c r="G655" s="18">
        <v>3883</v>
      </c>
      <c r="H655" s="33">
        <v>29.14</v>
      </c>
      <c r="I655" s="65">
        <v>29.15</v>
      </c>
      <c r="J655" s="12">
        <f t="array" ref="J655">_xlfn.IFS(Table13[[#This Row],[Days To Maturity]]=364,EDATE(Table13[[#This Row],[Date_d]],12),Table13[[#This Row],[Days To Maturity]]=182,EDATE(Table13[[#This Row],[Date_d]],6),Table13[[#This Row],[Days To Maturity]]=91,EDATE(Table13[[#This Row],[Date_d]],3))</f>
        <v>45155</v>
      </c>
      <c r="K655" s="59">
        <f>IFERROR(Table13[[#This Row],[Bid Accepted]]*(Table13[[#This Row],[WAYR Current]]%/364*Table13[[#This Row],[Days To Maturity]]),0)</f>
        <v>1131.5062</v>
      </c>
      <c r="L655" s="41">
        <f>+Table13[[#This Row],[Bid Accepted]]-Table13[[#This Row],[Amount Offered]]</f>
        <v>-11117</v>
      </c>
      <c r="M655" s="57">
        <f>+IF(Table13[[#This Row],[WAYR Last]]&gt;0,IF(Table13[[#This Row],[WAYR Current]]&gt;0,(Table13[[#This Row],[WAYR Current]]-Table13[[#This Row],[WAYR Last]]),""),"")</f>
        <v>-9.9999999999980105E-3</v>
      </c>
    </row>
    <row r="656" spans="1:13" x14ac:dyDescent="0.2">
      <c r="A656" s="53">
        <v>44797</v>
      </c>
      <c r="B656" s="10" t="s">
        <v>448</v>
      </c>
      <c r="C656" s="10">
        <v>91</v>
      </c>
      <c r="D656" s="10"/>
      <c r="E656" s="14">
        <v>44000</v>
      </c>
      <c r="F656" s="18">
        <v>58218</v>
      </c>
      <c r="G656" s="18">
        <v>38801</v>
      </c>
      <c r="H656" s="33">
        <v>30.51</v>
      </c>
      <c r="I656" s="65">
        <v>29.44</v>
      </c>
      <c r="J656" s="12">
        <f t="array" ref="J65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44889</v>
      </c>
      <c r="K656" s="59">
        <f>IFERROR(Table13[[#This Row],[Bid Accepted]]*(Table13[[#This Row],[WAYR Current]]%/364*Table13[[#This Row],[Days To Maturity]]),0)</f>
        <v>2959.5462750000002</v>
      </c>
      <c r="L656" s="41">
        <f>+Table13[[#This Row],[Bid Accepted]]-Table13[[#This Row],[Amount Offered]]</f>
        <v>-5199</v>
      </c>
      <c r="M656" s="57">
        <f>+IF(Table13[[#This Row],[WAYR Last]]&gt;0,IF(Table13[[#This Row],[WAYR Current]]&gt;0,(Table13[[#This Row],[WAYR Current]]-Table13[[#This Row],[WAYR Last]]),""),"")</f>
        <v>1.0700000000000003</v>
      </c>
    </row>
    <row r="657" spans="1:13" x14ac:dyDescent="0.2">
      <c r="A657" s="53">
        <v>44797</v>
      </c>
      <c r="B657" s="10" t="s">
        <v>449</v>
      </c>
      <c r="C657" s="10">
        <v>182</v>
      </c>
      <c r="D657" s="10"/>
      <c r="E657" s="14">
        <v>23000</v>
      </c>
      <c r="F657" s="18">
        <v>26076</v>
      </c>
      <c r="G657" s="18">
        <v>9582</v>
      </c>
      <c r="H657" s="33">
        <v>29.51</v>
      </c>
      <c r="I657" s="65">
        <v>28.96</v>
      </c>
      <c r="J657" s="12">
        <f t="array" ref="J65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44981</v>
      </c>
      <c r="K657" s="59">
        <f>IFERROR(Table13[[#This Row],[Bid Accepted]]*(Table13[[#This Row],[WAYR Current]]%/364*Table13[[#This Row],[Days To Maturity]]),0)</f>
        <v>1413.8241</v>
      </c>
      <c r="L657" s="41">
        <f>+Table13[[#This Row],[Bid Accepted]]-Table13[[#This Row],[Amount Offered]]</f>
        <v>-13418</v>
      </c>
      <c r="M657" s="57">
        <f>+IF(Table13[[#This Row],[WAYR Last]]&gt;0,IF(Table13[[#This Row],[WAYR Current]]&gt;0,(Table13[[#This Row],[WAYR Current]]-Table13[[#This Row],[WAYR Last]]),""),"")</f>
        <v>0.55000000000000071</v>
      </c>
    </row>
    <row r="658" spans="1:13" x14ac:dyDescent="0.2">
      <c r="A658" s="53">
        <v>44797</v>
      </c>
      <c r="B658" s="10" t="s">
        <v>450</v>
      </c>
      <c r="C658" s="10">
        <v>364</v>
      </c>
      <c r="D658" s="10"/>
      <c r="E658" s="14">
        <v>23000</v>
      </c>
      <c r="F658" s="18">
        <v>24605</v>
      </c>
      <c r="G658" s="18">
        <v>8330</v>
      </c>
      <c r="H658" s="33">
        <v>29.83</v>
      </c>
      <c r="I658" s="65">
        <v>29.14</v>
      </c>
      <c r="J658" s="12">
        <f t="array" ref="J658">_xlfn.IFS(Table13[[#This Row],[Days To Maturity]]=364,EDATE(Table13[[#This Row],[Date_d]],12),Table13[[#This Row],[Days To Maturity]]=182,EDATE(Table13[[#This Row],[Date_d]],6),Table13[[#This Row],[Days To Maturity]]=91,EDATE(Table13[[#This Row],[Date_d]],3))</f>
        <v>45162</v>
      </c>
      <c r="K658" s="59">
        <f>IFERROR(Table13[[#This Row],[Bid Accepted]]*(Table13[[#This Row],[WAYR Current]]%/364*Table13[[#This Row],[Days To Maturity]]),0)</f>
        <v>2484.8389999999999</v>
      </c>
      <c r="L658" s="41">
        <f>+Table13[[#This Row],[Bid Accepted]]-Table13[[#This Row],[Amount Offered]]</f>
        <v>-14670</v>
      </c>
      <c r="M658" s="57">
        <f>+IF(Table13[[#This Row],[WAYR Last]]&gt;0,IF(Table13[[#This Row],[WAYR Current]]&gt;0,(Table13[[#This Row],[WAYR Current]]-Table13[[#This Row],[WAYR Last]]),""),"")</f>
        <v>0.68999999999999773</v>
      </c>
    </row>
    <row r="659" spans="1:13" x14ac:dyDescent="0.2">
      <c r="A659" s="53">
        <v>44804</v>
      </c>
      <c r="B659" s="10" t="s">
        <v>451</v>
      </c>
      <c r="C659" s="10">
        <v>91</v>
      </c>
      <c r="D659" s="10"/>
      <c r="E659" s="14">
        <v>27500</v>
      </c>
      <c r="F659" s="18">
        <v>53289</v>
      </c>
      <c r="G659" s="18">
        <v>43197</v>
      </c>
      <c r="H659" s="33">
        <v>32.89</v>
      </c>
      <c r="I659" s="65">
        <v>30.51</v>
      </c>
      <c r="J659" s="12">
        <f t="array" ref="J659">_xlfn.IFS(Table13[[#This Row],[Days To Maturity]]=364,EDATE(Table13[[#This Row],[Date_d]],12),Table13[[#This Row],[Days To Maturity]]=182,EDATE(Table13[[#This Row],[Date_d]],6),Table13[[#This Row],[Days To Maturity]]=91,EDATE(Table13[[#This Row],[Date_d]],3))</f>
        <v>44895</v>
      </c>
      <c r="K659" s="59">
        <f>IFERROR(Table13[[#This Row],[Bid Accepted]]*(Table13[[#This Row],[WAYR Current]]%/364*Table13[[#This Row],[Days To Maturity]]),0)</f>
        <v>3551.8733250000005</v>
      </c>
      <c r="L659" s="41">
        <f>+Table13[[#This Row],[Bid Accepted]]-Table13[[#This Row],[Amount Offered]]</f>
        <v>15697</v>
      </c>
      <c r="M659" s="57">
        <f>+IF(Table13[[#This Row],[WAYR Last]]&gt;0,IF(Table13[[#This Row],[WAYR Current]]&gt;0,(Table13[[#This Row],[WAYR Current]]-Table13[[#This Row],[WAYR Last]]),""),"")</f>
        <v>2.379999999999999</v>
      </c>
    </row>
    <row r="660" spans="1:13" x14ac:dyDescent="0.2">
      <c r="A660" s="53">
        <v>44804</v>
      </c>
      <c r="B660" s="10" t="s">
        <v>452</v>
      </c>
      <c r="C660" s="10">
        <v>182</v>
      </c>
      <c r="D660" s="10"/>
      <c r="E660" s="14">
        <v>20000</v>
      </c>
      <c r="F660" s="18">
        <v>20822</v>
      </c>
      <c r="G660" s="18">
        <v>2908</v>
      </c>
      <c r="H660" s="33">
        <v>31.28</v>
      </c>
      <c r="I660" s="65">
        <v>29.51</v>
      </c>
      <c r="J660" s="12">
        <f t="array" ref="J66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44985</v>
      </c>
      <c r="K660" s="59">
        <f>IFERROR(Table13[[#This Row],[Bid Accepted]]*(Table13[[#This Row],[WAYR Current]]%/364*Table13[[#This Row],[Days To Maturity]]),0)</f>
        <v>454.81120000000004</v>
      </c>
      <c r="L660" s="41">
        <f>+Table13[[#This Row],[Bid Accepted]]-Table13[[#This Row],[Amount Offered]]</f>
        <v>-17092</v>
      </c>
      <c r="M660" s="57">
        <f>+IF(Table13[[#This Row],[WAYR Last]]&gt;0,IF(Table13[[#This Row],[WAYR Current]]&gt;0,(Table13[[#This Row],[WAYR Current]]-Table13[[#This Row],[WAYR Last]]),""),"")</f>
        <v>1.7699999999999996</v>
      </c>
    </row>
    <row r="661" spans="1:13" x14ac:dyDescent="0.2">
      <c r="A661" s="53">
        <v>44804</v>
      </c>
      <c r="B661" s="10" t="s">
        <v>453</v>
      </c>
      <c r="C661" s="10">
        <v>364</v>
      </c>
      <c r="D661" s="10"/>
      <c r="E661" s="14">
        <v>20000</v>
      </c>
      <c r="F661" s="18">
        <v>21651</v>
      </c>
      <c r="G661" s="18">
        <v>3426</v>
      </c>
      <c r="H661" s="33">
        <v>30.5</v>
      </c>
      <c r="I661" s="65">
        <v>29.83</v>
      </c>
      <c r="J661" s="12">
        <f t="array" ref="J661">_xlfn.IFS(Table13[[#This Row],[Days To Maturity]]=364,EDATE(Table13[[#This Row],[Date_d]],12),Table13[[#This Row],[Days To Maturity]]=182,EDATE(Table13[[#This Row],[Date_d]],6),Table13[[#This Row],[Days To Maturity]]=91,EDATE(Table13[[#This Row],[Date_d]],3))</f>
        <v>45169</v>
      </c>
      <c r="K661" s="59">
        <f>IFERROR(Table13[[#This Row],[Bid Accepted]]*(Table13[[#This Row],[WAYR Current]]%/364*Table13[[#This Row],[Days To Maturity]]),0)</f>
        <v>1044.93</v>
      </c>
      <c r="L661" s="41">
        <f>+Table13[[#This Row],[Bid Accepted]]-Table13[[#This Row],[Amount Offered]]</f>
        <v>-16574</v>
      </c>
      <c r="M661" s="57">
        <f>+IF(Table13[[#This Row],[WAYR Last]]&gt;0,IF(Table13[[#This Row],[WAYR Current]]&gt;0,(Table13[[#This Row],[WAYR Current]]-Table13[[#This Row],[WAYR Last]]),""),"")</f>
        <v>0.67000000000000171</v>
      </c>
    </row>
    <row r="662" spans="1:13" x14ac:dyDescent="0.2">
      <c r="A662" s="53">
        <v>44811</v>
      </c>
      <c r="B662" s="10" t="s">
        <v>454</v>
      </c>
      <c r="C662" s="10">
        <v>91</v>
      </c>
      <c r="D662" s="10"/>
      <c r="E662" s="14">
        <v>30000</v>
      </c>
      <c r="F662" s="18">
        <v>59476</v>
      </c>
      <c r="G662" s="18">
        <v>5767</v>
      </c>
      <c r="H662" s="33">
        <v>32.89</v>
      </c>
      <c r="I662" s="65">
        <v>32.89</v>
      </c>
      <c r="J662" s="12">
        <f t="array" ref="J662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44902</v>
      </c>
      <c r="K662" s="59">
        <f>IFERROR(Table13[[#This Row],[Bid Accepted]]*(Table13[[#This Row],[WAYR Current]]%/364*Table13[[#This Row],[Days To Maturity]]),0)</f>
        <v>474.19157500000006</v>
      </c>
      <c r="L662" s="41">
        <f>+Table13[[#This Row],[Bid Accepted]]-Table13[[#This Row],[Amount Offered]]</f>
        <v>-24233</v>
      </c>
      <c r="M662" s="57">
        <f>+IF(Table13[[#This Row],[WAYR Last]]&gt;0,IF(Table13[[#This Row],[WAYR Current]]&gt;0,(Table13[[#This Row],[WAYR Current]]-Table13[[#This Row],[WAYR Last]]),""),"")</f>
        <v>0</v>
      </c>
    </row>
    <row r="663" spans="1:13" x14ac:dyDescent="0.2">
      <c r="A663" s="53">
        <v>44811</v>
      </c>
      <c r="B663" s="10" t="s">
        <v>455</v>
      </c>
      <c r="C663" s="10">
        <v>182</v>
      </c>
      <c r="D663" s="10"/>
      <c r="E663" s="14">
        <v>25000</v>
      </c>
      <c r="F663" s="18">
        <v>25343</v>
      </c>
      <c r="G663" s="18">
        <v>1902</v>
      </c>
      <c r="H663" s="33">
        <v>31.28</v>
      </c>
      <c r="I663" s="65">
        <v>31.28</v>
      </c>
      <c r="J663" s="12">
        <f t="array" ref="J663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44992</v>
      </c>
      <c r="K663" s="59">
        <f>IFERROR(Table13[[#This Row],[Bid Accepted]]*(Table13[[#This Row],[WAYR Current]]%/364*Table13[[#This Row],[Days To Maturity]]),0)</f>
        <v>297.47280000000001</v>
      </c>
      <c r="L663" s="41">
        <f>+Table13[[#This Row],[Bid Accepted]]-Table13[[#This Row],[Amount Offered]]</f>
        <v>-23098</v>
      </c>
      <c r="M663" s="57">
        <f>+IF(Table13[[#This Row],[WAYR Last]]&gt;0,IF(Table13[[#This Row],[WAYR Current]]&gt;0,(Table13[[#This Row],[WAYR Current]]-Table13[[#This Row],[WAYR Last]]),""),"")</f>
        <v>0</v>
      </c>
    </row>
    <row r="664" spans="1:13" x14ac:dyDescent="0.2">
      <c r="A664" s="53">
        <v>44811</v>
      </c>
      <c r="B664" s="10" t="s">
        <v>456</v>
      </c>
      <c r="C664" s="10">
        <v>364</v>
      </c>
      <c r="D664" s="10"/>
      <c r="E664" s="14">
        <v>20000</v>
      </c>
      <c r="F664" s="18">
        <v>21613</v>
      </c>
      <c r="G664" s="18">
        <v>2601</v>
      </c>
      <c r="H664" s="33">
        <v>30.5</v>
      </c>
      <c r="I664" s="65">
        <v>30.5</v>
      </c>
      <c r="J664" s="12">
        <f t="array" ref="J664">_xlfn.IFS(Table13[[#This Row],[Days To Maturity]]=364,EDATE(Table13[[#This Row],[Date_d]],12),Table13[[#This Row],[Days To Maturity]]=182,EDATE(Table13[[#This Row],[Date_d]],6),Table13[[#This Row],[Days To Maturity]]=91,EDATE(Table13[[#This Row],[Date_d]],3))</f>
        <v>45176</v>
      </c>
      <c r="K664" s="59">
        <f>IFERROR(Table13[[#This Row],[Bid Accepted]]*(Table13[[#This Row],[WAYR Current]]%/364*Table13[[#This Row],[Days To Maturity]]),0)</f>
        <v>793.30499999999995</v>
      </c>
      <c r="L664" s="41">
        <f>+Table13[[#This Row],[Bid Accepted]]-Table13[[#This Row],[Amount Offered]]</f>
        <v>-17399</v>
      </c>
      <c r="M664" s="57">
        <f>+IF(Table13[[#This Row],[WAYR Last]]&gt;0,IF(Table13[[#This Row],[WAYR Current]]&gt;0,(Table13[[#This Row],[WAYR Current]]-Table13[[#This Row],[WAYR Last]]),""),"")</f>
        <v>0</v>
      </c>
    </row>
    <row r="665" spans="1:13" x14ac:dyDescent="0.2">
      <c r="A665" s="53">
        <v>44818</v>
      </c>
      <c r="B665" s="10" t="s">
        <v>457</v>
      </c>
      <c r="C665" s="10">
        <v>91</v>
      </c>
      <c r="D665" s="10"/>
      <c r="E665" s="14">
        <v>35000</v>
      </c>
      <c r="F665" s="18">
        <v>135736</v>
      </c>
      <c r="G665" s="18">
        <v>78881</v>
      </c>
      <c r="H665" s="33">
        <v>32.71</v>
      </c>
      <c r="I665" s="65">
        <v>32.89</v>
      </c>
      <c r="J665" s="12">
        <f t="array" ref="J665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44909</v>
      </c>
      <c r="K665" s="59">
        <f>IFERROR(Table13[[#This Row],[Bid Accepted]]*(Table13[[#This Row],[WAYR Current]]%/364*Table13[[#This Row],[Days To Maturity]]),0)</f>
        <v>6450.4937749999999</v>
      </c>
      <c r="L665" s="41">
        <f>+Table13[[#This Row],[Bid Accepted]]-Table13[[#This Row],[Amount Offered]]</f>
        <v>43881</v>
      </c>
      <c r="M665" s="57">
        <f>+IF(Table13[[#This Row],[WAYR Last]]&gt;0,IF(Table13[[#This Row],[WAYR Current]]&gt;0,(Table13[[#This Row],[WAYR Current]]-Table13[[#This Row],[WAYR Last]]),""),"")</f>
        <v>-0.17999999999999972</v>
      </c>
    </row>
    <row r="666" spans="1:13" x14ac:dyDescent="0.2">
      <c r="A666" s="53">
        <v>44818</v>
      </c>
      <c r="B666" s="10" t="s">
        <v>458</v>
      </c>
      <c r="C666" s="10">
        <v>182</v>
      </c>
      <c r="D666" s="10"/>
      <c r="E666" s="14">
        <v>25000</v>
      </c>
      <c r="F666" s="18">
        <v>25433</v>
      </c>
      <c r="G666" s="18">
        <v>523</v>
      </c>
      <c r="H666" s="33">
        <v>30.82</v>
      </c>
      <c r="I666" s="65">
        <v>31.28</v>
      </c>
      <c r="J666" s="12">
        <f t="array" ref="J66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44999</v>
      </c>
      <c r="K666" s="59">
        <f>IFERROR(Table13[[#This Row],[Bid Accepted]]*(Table13[[#This Row],[WAYR Current]]%/364*Table13[[#This Row],[Days To Maturity]]),0)</f>
        <v>80.594300000000004</v>
      </c>
      <c r="L666" s="41">
        <f>+Table13[[#This Row],[Bid Accepted]]-Table13[[#This Row],[Amount Offered]]</f>
        <v>-24477</v>
      </c>
      <c r="M666" s="57">
        <f>+IF(Table13[[#This Row],[WAYR Last]]&gt;0,IF(Table13[[#This Row],[WAYR Current]]&gt;0,(Table13[[#This Row],[WAYR Current]]-Table13[[#This Row],[WAYR Last]]),""),"")</f>
        <v>-0.46000000000000085</v>
      </c>
    </row>
    <row r="667" spans="1:13" x14ac:dyDescent="0.2">
      <c r="A667" s="53">
        <v>44818</v>
      </c>
      <c r="B667" s="10" t="s">
        <v>459</v>
      </c>
      <c r="C667" s="10">
        <v>364</v>
      </c>
      <c r="D667" s="10"/>
      <c r="E667" s="14">
        <v>20000</v>
      </c>
      <c r="F667" s="18">
        <v>21554</v>
      </c>
      <c r="G667" s="18">
        <v>596</v>
      </c>
      <c r="H667" s="33">
        <v>30.26</v>
      </c>
      <c r="I667" s="65">
        <v>30.5</v>
      </c>
      <c r="J667" s="12">
        <f t="array" ref="J667">_xlfn.IFS(Table13[[#This Row],[Days To Maturity]]=364,EDATE(Table13[[#This Row],[Date_d]],12),Table13[[#This Row],[Days To Maturity]]=182,EDATE(Table13[[#This Row],[Date_d]],6),Table13[[#This Row],[Days To Maturity]]=91,EDATE(Table13[[#This Row],[Date_d]],3))</f>
        <v>45183</v>
      </c>
      <c r="K667" s="59">
        <f>IFERROR(Table13[[#This Row],[Bid Accepted]]*(Table13[[#This Row],[WAYR Current]]%/364*Table13[[#This Row],[Days To Maturity]]),0)</f>
        <v>180.34960000000001</v>
      </c>
      <c r="L667" s="41">
        <f>+Table13[[#This Row],[Bid Accepted]]-Table13[[#This Row],[Amount Offered]]</f>
        <v>-19404</v>
      </c>
      <c r="M667" s="57">
        <f>+IF(Table13[[#This Row],[WAYR Last]]&gt;0,IF(Table13[[#This Row],[WAYR Current]]&gt;0,(Table13[[#This Row],[WAYR Current]]-Table13[[#This Row],[WAYR Last]]),""),"")</f>
        <v>-0.23999999999999844</v>
      </c>
    </row>
    <row r="668" spans="1:13" x14ac:dyDescent="0.2">
      <c r="A668" s="9">
        <v>44825</v>
      </c>
      <c r="B668" s="10" t="s">
        <v>460</v>
      </c>
      <c r="C668" s="10">
        <v>91</v>
      </c>
      <c r="D668" s="10"/>
      <c r="E668" s="14">
        <v>28000</v>
      </c>
      <c r="F668" s="18">
        <v>100927</v>
      </c>
      <c r="G668" s="18">
        <v>55412</v>
      </c>
      <c r="H668" s="37">
        <v>31.95</v>
      </c>
      <c r="I668" s="65">
        <v>32.71</v>
      </c>
      <c r="J668" s="12">
        <f t="array" ref="J668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44916</v>
      </c>
      <c r="K668" s="66">
        <f>IFERROR(Table13[[#This Row],[Bid Accepted]]*(Table13[[#This Row],[WAYR Current]]%/364*Table13[[#This Row],[Days To Maturity]]),0)</f>
        <v>4426.0335000000005</v>
      </c>
      <c r="L668" s="41">
        <f>+Table13[[#This Row],[Bid Accepted]]-Table13[[#This Row],[Amount Offered]]</f>
        <v>27412</v>
      </c>
      <c r="M668" s="57">
        <f>+IF(Table13[[#This Row],[WAYR Last]]&gt;0,IF(Table13[[#This Row],[WAYR Current]]&gt;0,(Table13[[#This Row],[WAYR Current]]-Table13[[#This Row],[WAYR Last]]),""),"")</f>
        <v>-0.76000000000000156</v>
      </c>
    </row>
    <row r="669" spans="1:13" x14ac:dyDescent="0.2">
      <c r="A669" s="53">
        <v>44825</v>
      </c>
      <c r="B669" s="10" t="s">
        <v>461</v>
      </c>
      <c r="C669" s="10">
        <v>182</v>
      </c>
      <c r="D669" s="10"/>
      <c r="E669" s="14">
        <v>20000</v>
      </c>
      <c r="F669" s="18">
        <v>21603</v>
      </c>
      <c r="G669" s="18">
        <v>4358</v>
      </c>
      <c r="H669" s="33">
        <v>30.63</v>
      </c>
      <c r="I669" s="65">
        <v>30.82</v>
      </c>
      <c r="J669" s="12">
        <f t="array" ref="J669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45006</v>
      </c>
      <c r="K669" s="59">
        <f>IFERROR(Table13[[#This Row],[Bid Accepted]]*(Table13[[#This Row],[WAYR Current]]%/364*Table13[[#This Row],[Days To Maturity]]),0)</f>
        <v>667.42770000000007</v>
      </c>
      <c r="L669" s="41">
        <f>+Table13[[#This Row],[Bid Accepted]]-Table13[[#This Row],[Amount Offered]]</f>
        <v>-15642</v>
      </c>
      <c r="M669" s="57">
        <f>+IF(Table13[[#This Row],[WAYR Last]]&gt;0,IF(Table13[[#This Row],[WAYR Current]]&gt;0,(Table13[[#This Row],[WAYR Current]]-Table13[[#This Row],[WAYR Last]]),""),"")</f>
        <v>-0.19000000000000128</v>
      </c>
    </row>
    <row r="670" spans="1:13" x14ac:dyDescent="0.2">
      <c r="A670" s="53">
        <v>44825</v>
      </c>
      <c r="B670" s="10" t="s">
        <v>462</v>
      </c>
      <c r="C670" s="10">
        <v>364</v>
      </c>
      <c r="D670" s="10"/>
      <c r="E670" s="14">
        <v>17000</v>
      </c>
      <c r="F670" s="18">
        <v>20116</v>
      </c>
      <c r="G670" s="18">
        <v>5230</v>
      </c>
      <c r="H670" s="33">
        <v>29.87</v>
      </c>
      <c r="I670" s="65">
        <v>30.26</v>
      </c>
      <c r="J670" s="12">
        <f t="array" ref="J670">_xlfn.IFS(Table13[[#This Row],[Days To Maturity]]=364,EDATE(Table13[[#This Row],[Date_d]],12),Table13[[#This Row],[Days To Maturity]]=182,EDATE(Table13[[#This Row],[Date_d]],6),Table13[[#This Row],[Days To Maturity]]=91,EDATE(Table13[[#This Row],[Date_d]],3))</f>
        <v>45190</v>
      </c>
      <c r="K670" s="59">
        <f>IFERROR(Table13[[#This Row],[Bid Accepted]]*(Table13[[#This Row],[WAYR Current]]%/364*Table13[[#This Row],[Days To Maturity]]),0)</f>
        <v>1562.201</v>
      </c>
      <c r="L670" s="41">
        <f>+Table13[[#This Row],[Bid Accepted]]-Table13[[#This Row],[Amount Offered]]</f>
        <v>-11770</v>
      </c>
      <c r="M670" s="57">
        <f>+IF(Table13[[#This Row],[WAYR Last]]&gt;0,IF(Table13[[#This Row],[WAYR Current]]&gt;0,(Table13[[#This Row],[WAYR Current]]-Table13[[#This Row],[WAYR Last]]),""),"")</f>
        <v>-0.39000000000000057</v>
      </c>
    </row>
    <row r="671" spans="1:13" x14ac:dyDescent="0.2">
      <c r="A671" s="53">
        <v>44832</v>
      </c>
      <c r="B671" s="10" t="s">
        <v>463</v>
      </c>
      <c r="C671" s="10">
        <v>91</v>
      </c>
      <c r="D671" s="10"/>
      <c r="E671" s="14">
        <v>35000</v>
      </c>
      <c r="F671" s="18">
        <v>95162</v>
      </c>
      <c r="G671" s="18">
        <v>72983</v>
      </c>
      <c r="H671" s="33">
        <v>31.94</v>
      </c>
      <c r="I671" s="65">
        <v>31.95</v>
      </c>
      <c r="J671" s="12">
        <f t="array" ref="J671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44923</v>
      </c>
      <c r="K671" s="59">
        <f>IFERROR(Table13[[#This Row],[Bid Accepted]]*(Table13[[#This Row],[WAYR Current]]%/364*Table13[[#This Row],[Days To Maturity]]),0)</f>
        <v>5827.6925500000007</v>
      </c>
      <c r="L671" s="41">
        <f>+Table13[[#This Row],[Bid Accepted]]-Table13[[#This Row],[Amount Offered]]</f>
        <v>37983</v>
      </c>
      <c r="M671" s="57">
        <f>+IF(Table13[[#This Row],[WAYR Last]]&gt;0,IF(Table13[[#This Row],[WAYR Current]]&gt;0,(Table13[[#This Row],[WAYR Current]]-Table13[[#This Row],[WAYR Last]]),""),"")</f>
        <v>-9.9999999999980105E-3</v>
      </c>
    </row>
    <row r="672" spans="1:13" x14ac:dyDescent="0.2">
      <c r="A672" s="53">
        <v>44832</v>
      </c>
      <c r="B672" s="10" t="s">
        <v>464</v>
      </c>
      <c r="C672" s="10">
        <v>182</v>
      </c>
      <c r="D672" s="10"/>
      <c r="E672" s="14">
        <v>28000</v>
      </c>
      <c r="F672" s="18">
        <v>32058</v>
      </c>
      <c r="G672" s="18">
        <v>4415</v>
      </c>
      <c r="H672" s="33">
        <v>30.59</v>
      </c>
      <c r="I672" s="65">
        <v>30.63</v>
      </c>
      <c r="J672" s="12">
        <f t="array" ref="J672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45013</v>
      </c>
      <c r="K672" s="59">
        <f>IFERROR(Table13[[#This Row],[Bid Accepted]]*(Table13[[#This Row],[WAYR Current]]%/364*Table13[[#This Row],[Days To Maturity]]),0)</f>
        <v>675.27425000000005</v>
      </c>
      <c r="L672" s="41">
        <f>+Table13[[#This Row],[Bid Accepted]]-Table13[[#This Row],[Amount Offered]]</f>
        <v>-23585</v>
      </c>
      <c r="M672" s="57">
        <f>+IF(Table13[[#This Row],[WAYR Last]]&gt;0,IF(Table13[[#This Row],[WAYR Current]]&gt;0,(Table13[[#This Row],[WAYR Current]]-Table13[[#This Row],[WAYR Last]]),""),"")</f>
        <v>-3.9999999999999147E-2</v>
      </c>
    </row>
    <row r="673" spans="1:13" x14ac:dyDescent="0.2">
      <c r="A673" s="53">
        <v>44832</v>
      </c>
      <c r="B673" s="10" t="s">
        <v>465</v>
      </c>
      <c r="C673" s="10">
        <v>364</v>
      </c>
      <c r="D673" s="10"/>
      <c r="E673" s="14">
        <v>22000</v>
      </c>
      <c r="F673" s="18">
        <v>24546</v>
      </c>
      <c r="G673" s="18">
        <v>4282</v>
      </c>
      <c r="H673" s="33">
        <v>29.85</v>
      </c>
      <c r="I673" s="65">
        <v>29.87</v>
      </c>
      <c r="J673" s="12">
        <f t="array" ref="J673">_xlfn.IFS(Table13[[#This Row],[Days To Maturity]]=364,EDATE(Table13[[#This Row],[Date_d]],12),Table13[[#This Row],[Days To Maturity]]=182,EDATE(Table13[[#This Row],[Date_d]],6),Table13[[#This Row],[Days To Maturity]]=91,EDATE(Table13[[#This Row],[Date_d]],3))</f>
        <v>45197</v>
      </c>
      <c r="K673" s="59">
        <f>IFERROR(Table13[[#This Row],[Bid Accepted]]*(Table13[[#This Row],[WAYR Current]]%/364*Table13[[#This Row],[Days To Maturity]]),0)</f>
        <v>1278.1769999999999</v>
      </c>
      <c r="L673" s="41">
        <f>+Table13[[#This Row],[Bid Accepted]]-Table13[[#This Row],[Amount Offered]]</f>
        <v>-17718</v>
      </c>
      <c r="M673" s="57">
        <f>+IF(Table13[[#This Row],[WAYR Last]]&gt;0,IF(Table13[[#This Row],[WAYR Current]]&gt;0,(Table13[[#This Row],[WAYR Current]]-Table13[[#This Row],[WAYR Last]]),""),"")</f>
        <v>-1.9999999999999574E-2</v>
      </c>
    </row>
    <row r="674" spans="1:13" x14ac:dyDescent="0.2">
      <c r="A674" s="53">
        <v>44839</v>
      </c>
      <c r="B674" s="10" t="s">
        <v>466</v>
      </c>
      <c r="C674" s="10">
        <v>91</v>
      </c>
      <c r="D674" s="10"/>
      <c r="E674" s="14">
        <v>30000</v>
      </c>
      <c r="F674" s="18">
        <v>86595</v>
      </c>
      <c r="G674" s="18">
        <v>76421</v>
      </c>
      <c r="H674" s="33">
        <v>32.340000000000003</v>
      </c>
      <c r="I674" s="65">
        <v>31.94</v>
      </c>
      <c r="J674" s="12">
        <f t="array" ref="J674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44931</v>
      </c>
      <c r="K674" s="59">
        <f>IFERROR(Table13[[#This Row],[Bid Accepted]]*(Table13[[#This Row],[WAYR Current]]%/364*Table13[[#This Row],[Days To Maturity]]),0)</f>
        <v>6178.6378500000001</v>
      </c>
      <c r="L674" s="41">
        <f>+Table13[[#This Row],[Bid Accepted]]-Table13[[#This Row],[Amount Offered]]</f>
        <v>46421</v>
      </c>
      <c r="M674" s="57">
        <f>+IF(Table13[[#This Row],[WAYR Last]]&gt;0,IF(Table13[[#This Row],[WAYR Current]]&gt;0,(Table13[[#This Row],[WAYR Current]]-Table13[[#This Row],[WAYR Last]]),""),"")</f>
        <v>0.40000000000000213</v>
      </c>
    </row>
    <row r="675" spans="1:13" x14ac:dyDescent="0.2">
      <c r="A675" s="53">
        <v>44839</v>
      </c>
      <c r="B675" s="10" t="s">
        <v>467</v>
      </c>
      <c r="C675" s="10">
        <v>182</v>
      </c>
      <c r="D675" s="10"/>
      <c r="E675" s="14">
        <v>30000</v>
      </c>
      <c r="F675" s="18">
        <v>31253</v>
      </c>
      <c r="G675" s="18">
        <v>4226</v>
      </c>
      <c r="H675" s="33">
        <v>30.61</v>
      </c>
      <c r="I675" s="65">
        <v>30.59</v>
      </c>
      <c r="J675" s="12">
        <f t="array" ref="J675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45021</v>
      </c>
      <c r="K675" s="59">
        <f>IFERROR(Table13[[#This Row],[Bid Accepted]]*(Table13[[#This Row],[WAYR Current]]%/364*Table13[[#This Row],[Days To Maturity]]),0)</f>
        <v>646.78929999999991</v>
      </c>
      <c r="L675" s="41">
        <f>+Table13[[#This Row],[Bid Accepted]]-Table13[[#This Row],[Amount Offered]]</f>
        <v>-25774</v>
      </c>
      <c r="M675" s="57">
        <f>+IF(Table13[[#This Row],[WAYR Last]]&gt;0,IF(Table13[[#This Row],[WAYR Current]]&gt;0,(Table13[[#This Row],[WAYR Current]]-Table13[[#This Row],[WAYR Last]]),""),"")</f>
        <v>1.9999999999999574E-2</v>
      </c>
    </row>
    <row r="676" spans="1:13" x14ac:dyDescent="0.2">
      <c r="A676" s="53">
        <v>44839</v>
      </c>
      <c r="B676" s="10" t="s">
        <v>468</v>
      </c>
      <c r="C676" s="10">
        <v>364</v>
      </c>
      <c r="D676" s="10"/>
      <c r="E676" s="14">
        <v>25000</v>
      </c>
      <c r="F676" s="18">
        <v>27583</v>
      </c>
      <c r="G676" s="18">
        <v>4353</v>
      </c>
      <c r="H676" s="33">
        <v>29.75</v>
      </c>
      <c r="I676" s="65">
        <v>29.85</v>
      </c>
      <c r="J676" s="12">
        <f t="array" ref="J676">_xlfn.IFS(Table13[[#This Row],[Days To Maturity]]=364,EDATE(Table13[[#This Row],[Date_d]],12),Table13[[#This Row],[Days To Maturity]]=182,EDATE(Table13[[#This Row],[Date_d]],6),Table13[[#This Row],[Days To Maturity]]=91,EDATE(Table13[[#This Row],[Date_d]],3))</f>
        <v>45204</v>
      </c>
      <c r="K676" s="59">
        <f>IFERROR(Table13[[#This Row],[Bid Accepted]]*(Table13[[#This Row],[WAYR Current]]%/364*Table13[[#This Row],[Days To Maturity]]),0)</f>
        <v>1295.0174999999999</v>
      </c>
      <c r="L676" s="41">
        <f>+Table13[[#This Row],[Bid Accepted]]-Table13[[#This Row],[Amount Offered]]</f>
        <v>-20647</v>
      </c>
      <c r="M676" s="57">
        <f>+IF(Table13[[#This Row],[WAYR Last]]&gt;0,IF(Table13[[#This Row],[WAYR Current]]&gt;0,(Table13[[#This Row],[WAYR Current]]-Table13[[#This Row],[WAYR Last]]),""),"")</f>
        <v>-0.10000000000000142</v>
      </c>
    </row>
    <row r="677" spans="1:13" x14ac:dyDescent="0.2">
      <c r="A677" s="53">
        <v>44846</v>
      </c>
      <c r="B677" s="10" t="s">
        <v>469</v>
      </c>
      <c r="C677" s="10">
        <v>91</v>
      </c>
      <c r="D677" s="10"/>
      <c r="E677" s="14">
        <v>40000</v>
      </c>
      <c r="F677" s="18">
        <v>79975</v>
      </c>
      <c r="G677" s="18">
        <v>52139</v>
      </c>
      <c r="H677" s="33">
        <v>33.049999999999997</v>
      </c>
      <c r="I677" s="65">
        <v>32.340000000000003</v>
      </c>
      <c r="J677" s="12">
        <f t="array" ref="J677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44938</v>
      </c>
      <c r="K677" s="59">
        <f>IFERROR(Table13[[#This Row],[Bid Accepted]]*(Table13[[#This Row],[WAYR Current]]%/364*Table13[[#This Row],[Days To Maturity]]),0)</f>
        <v>4307.9848749999992</v>
      </c>
      <c r="L677" s="41">
        <f>+Table13[[#This Row],[Bid Accepted]]-Table13[[#This Row],[Amount Offered]]</f>
        <v>12139</v>
      </c>
      <c r="M677" s="57">
        <f>+IF(Table13[[#This Row],[WAYR Last]]&gt;0,IF(Table13[[#This Row],[WAYR Current]]&gt;0,(Table13[[#This Row],[WAYR Current]]-Table13[[#This Row],[WAYR Last]]),""),"")</f>
        <v>0.70999999999999375</v>
      </c>
    </row>
    <row r="678" spans="1:13" x14ac:dyDescent="0.2">
      <c r="A678" s="53">
        <v>44846</v>
      </c>
      <c r="B678" s="10" t="s">
        <v>470</v>
      </c>
      <c r="C678" s="10">
        <v>182</v>
      </c>
      <c r="D678" s="10"/>
      <c r="E678" s="14">
        <v>25000</v>
      </c>
      <c r="F678" s="18">
        <v>25475</v>
      </c>
      <c r="G678" s="18">
        <v>7657</v>
      </c>
      <c r="H678" s="33">
        <v>32.53</v>
      </c>
      <c r="I678" s="65">
        <v>30.61</v>
      </c>
      <c r="J678" s="12">
        <f t="array" ref="J678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45028</v>
      </c>
      <c r="K678" s="59">
        <f>IFERROR(Table13[[#This Row],[Bid Accepted]]*(Table13[[#This Row],[WAYR Current]]%/364*Table13[[#This Row],[Days To Maturity]]),0)</f>
        <v>1245.4110500000002</v>
      </c>
      <c r="L678" s="41">
        <f>+Table13[[#This Row],[Bid Accepted]]-Table13[[#This Row],[Amount Offered]]</f>
        <v>-17343</v>
      </c>
      <c r="M678" s="57">
        <f>+IF(Table13[[#This Row],[WAYR Last]]&gt;0,IF(Table13[[#This Row],[WAYR Current]]&gt;0,(Table13[[#This Row],[WAYR Current]]-Table13[[#This Row],[WAYR Last]]),""),"")</f>
        <v>1.9200000000000017</v>
      </c>
    </row>
    <row r="679" spans="1:13" x14ac:dyDescent="0.2">
      <c r="A679" s="53">
        <v>44846</v>
      </c>
      <c r="B679" s="10" t="s">
        <v>471</v>
      </c>
      <c r="C679" s="10">
        <v>364</v>
      </c>
      <c r="D679" s="10"/>
      <c r="E679" s="14">
        <v>25000</v>
      </c>
      <c r="F679" s="18">
        <v>25480</v>
      </c>
      <c r="G679" s="18">
        <v>511</v>
      </c>
      <c r="H679" s="33">
        <v>29.6</v>
      </c>
      <c r="I679" s="65">
        <v>29.75</v>
      </c>
      <c r="J679" s="12">
        <f t="array" ref="J679">_xlfn.IFS(Table13[[#This Row],[Days To Maturity]]=364,EDATE(Table13[[#This Row],[Date_d]],12),Table13[[#This Row],[Days To Maturity]]=182,EDATE(Table13[[#This Row],[Date_d]],6),Table13[[#This Row],[Days To Maturity]]=91,EDATE(Table13[[#This Row],[Date_d]],3))</f>
        <v>45211</v>
      </c>
      <c r="K679" s="59">
        <f>IFERROR(Table13[[#This Row],[Bid Accepted]]*(Table13[[#This Row],[WAYR Current]]%/364*Table13[[#This Row],[Days To Maturity]]),0)</f>
        <v>151.25600000000003</v>
      </c>
      <c r="L679" s="41">
        <f>+Table13[[#This Row],[Bid Accepted]]-Table13[[#This Row],[Amount Offered]]</f>
        <v>-24489</v>
      </c>
      <c r="M679" s="57">
        <f>+IF(Table13[[#This Row],[WAYR Last]]&gt;0,IF(Table13[[#This Row],[WAYR Current]]&gt;0,(Table13[[#This Row],[WAYR Current]]-Table13[[#This Row],[WAYR Last]]),""),"")</f>
        <v>-0.14999999999999858</v>
      </c>
    </row>
    <row r="680" spans="1:13" x14ac:dyDescent="0.2">
      <c r="A680" s="53">
        <v>44853</v>
      </c>
      <c r="B680" s="10" t="s">
        <v>472</v>
      </c>
      <c r="C680" s="10">
        <v>91</v>
      </c>
      <c r="D680" s="10"/>
      <c r="E680" s="14">
        <v>30000</v>
      </c>
      <c r="F680" s="18">
        <v>62768</v>
      </c>
      <c r="G680" s="18">
        <v>14356</v>
      </c>
      <c r="H680" s="33">
        <v>33.049999999999997</v>
      </c>
      <c r="I680" s="65">
        <v>33.049999999999997</v>
      </c>
      <c r="J680" s="12">
        <f t="array" ref="J680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44945</v>
      </c>
      <c r="K680" s="59">
        <f>IFERROR(Table13[[#This Row],[Bid Accepted]]*(Table13[[#This Row],[WAYR Current]]%/364*Table13[[#This Row],[Days To Maturity]]),0)</f>
        <v>1186.1644999999999</v>
      </c>
      <c r="L680" s="41">
        <f>+Table13[[#This Row],[Bid Accepted]]-Table13[[#This Row],[Amount Offered]]</f>
        <v>-15644</v>
      </c>
      <c r="M680" s="57">
        <f>+IF(Table13[[#This Row],[WAYR Last]]&gt;0,IF(Table13[[#This Row],[WAYR Current]]&gt;0,(Table13[[#This Row],[WAYR Current]]-Table13[[#This Row],[WAYR Last]]),""),"")</f>
        <v>0</v>
      </c>
    </row>
    <row r="681" spans="1:13" x14ac:dyDescent="0.2">
      <c r="A681" s="53">
        <v>44853</v>
      </c>
      <c r="B681" s="10" t="s">
        <v>473</v>
      </c>
      <c r="C681" s="10">
        <v>182</v>
      </c>
      <c r="D681" s="10"/>
      <c r="E681" s="14">
        <v>25000</v>
      </c>
      <c r="F681" s="18">
        <v>25520</v>
      </c>
      <c r="G681" s="18">
        <v>461</v>
      </c>
      <c r="H681" s="33">
        <v>32.53</v>
      </c>
      <c r="I681" s="65">
        <v>32.53</v>
      </c>
      <c r="J681" s="12">
        <f t="array" ref="J681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45035</v>
      </c>
      <c r="K681" s="59">
        <f>IFERROR(Table13[[#This Row],[Bid Accepted]]*(Table13[[#This Row],[WAYR Current]]%/364*Table13[[#This Row],[Days To Maturity]]),0)</f>
        <v>74.981650000000002</v>
      </c>
      <c r="L681" s="41">
        <f>+Table13[[#This Row],[Bid Accepted]]-Table13[[#This Row],[Amount Offered]]</f>
        <v>-24539</v>
      </c>
      <c r="M681" s="57">
        <f>+IF(Table13[[#This Row],[WAYR Last]]&gt;0,IF(Table13[[#This Row],[WAYR Current]]&gt;0,(Table13[[#This Row],[WAYR Current]]-Table13[[#This Row],[WAYR Last]]),""),"")</f>
        <v>0</v>
      </c>
    </row>
    <row r="682" spans="1:13" x14ac:dyDescent="0.2">
      <c r="A682" s="53">
        <v>44853</v>
      </c>
      <c r="B682" s="10" t="s">
        <v>474</v>
      </c>
      <c r="C682" s="10">
        <v>364</v>
      </c>
      <c r="D682" s="10"/>
      <c r="E682" s="14">
        <v>20000</v>
      </c>
      <c r="F682" s="18">
        <v>20492</v>
      </c>
      <c r="G682" s="18">
        <v>1306</v>
      </c>
      <c r="H682" s="33">
        <v>29.6</v>
      </c>
      <c r="I682" s="65">
        <v>29.6</v>
      </c>
      <c r="J682" s="12">
        <f t="array" ref="J682">_xlfn.IFS(Table13[[#This Row],[Days To Maturity]]=364,EDATE(Table13[[#This Row],[Date_d]],12),Table13[[#This Row],[Days To Maturity]]=182,EDATE(Table13[[#This Row],[Date_d]],6),Table13[[#This Row],[Days To Maturity]]=91,EDATE(Table13[[#This Row],[Date_d]],3))</f>
        <v>45218</v>
      </c>
      <c r="K682" s="59">
        <f>IFERROR(Table13[[#This Row],[Bid Accepted]]*(Table13[[#This Row],[WAYR Current]]%/364*Table13[[#This Row],[Days To Maturity]]),0)</f>
        <v>386.57600000000008</v>
      </c>
      <c r="L682" s="41">
        <f>+Table13[[#This Row],[Bid Accepted]]-Table13[[#This Row],[Amount Offered]]</f>
        <v>-18694</v>
      </c>
      <c r="M682" s="57">
        <f>+IF(Table13[[#This Row],[WAYR Last]]&gt;0,IF(Table13[[#This Row],[WAYR Current]]&gt;0,(Table13[[#This Row],[WAYR Current]]-Table13[[#This Row],[WAYR Last]]),""),"")</f>
        <v>0</v>
      </c>
    </row>
    <row r="683" spans="1:13" x14ac:dyDescent="0.2">
      <c r="A683" s="9">
        <v>44921</v>
      </c>
      <c r="B683" s="10" t="s">
        <v>475</v>
      </c>
      <c r="C683" s="10">
        <v>91</v>
      </c>
      <c r="D683" s="10"/>
      <c r="E683" s="14">
        <v>30000</v>
      </c>
      <c r="F683" s="18">
        <v>87789</v>
      </c>
      <c r="G683" s="18">
        <v>67057</v>
      </c>
      <c r="H683" s="37">
        <v>33.049999999999997</v>
      </c>
      <c r="I683" s="65">
        <v>33.049999999999997</v>
      </c>
      <c r="J683" s="12">
        <f t="array" ref="J683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45011</v>
      </c>
      <c r="K683" s="66">
        <f>IFERROR(Table13[[#This Row],[Bid Accepted]]*(Table13[[#This Row],[WAYR Current]]%/364*Table13[[#This Row],[Days To Maturity]]),0)</f>
        <v>5540.5846249999995</v>
      </c>
      <c r="L683" s="41">
        <f>+Table13[[#This Row],[Bid Accepted]]-Table13[[#This Row],[Amount Offered]]</f>
        <v>37057</v>
      </c>
      <c r="M683" s="57">
        <f>+IF(Table13[[#This Row],[WAYR Last]]&gt;0,IF(Table13[[#This Row],[WAYR Current]]&gt;0,(Table13[[#This Row],[WAYR Current]]-Table13[[#This Row],[WAYR Last]]),""),"")</f>
        <v>0</v>
      </c>
    </row>
    <row r="684" spans="1:13" x14ac:dyDescent="0.2">
      <c r="A684" s="53">
        <v>44921</v>
      </c>
      <c r="B684" s="10" t="s">
        <v>476</v>
      </c>
      <c r="C684" s="10">
        <v>182</v>
      </c>
      <c r="D684" s="10"/>
      <c r="E684" s="14">
        <v>30000</v>
      </c>
      <c r="F684" s="18">
        <v>31899</v>
      </c>
      <c r="G684" s="18">
        <v>1881</v>
      </c>
      <c r="H684" s="33">
        <v>32.53</v>
      </c>
      <c r="I684" s="65">
        <v>32.53</v>
      </c>
      <c r="J684" s="12">
        <f t="array" ref="J684">_xlfn.IFS(Table13[[#This Row],[Days To Maturity]]=364,EDATE(Table13[[#This Row],[Date_d]],12),Table13[[#This Row],[Days To Maturity]]=182,EDATE(Table13[[#This Row],[Date_d]],6),Table13[[#This Row],[Days To Maturity]]=91,EDATE(Table13[[#This Row],[Date_d]],3))</f>
        <v>45103</v>
      </c>
      <c r="K684" s="59">
        <f>IFERROR(Table13[[#This Row],[Bid Accepted]]*(Table13[[#This Row],[WAYR Current]]%/364*Table13[[#This Row],[Days To Maturity]]),0)</f>
        <v>305.94465000000002</v>
      </c>
      <c r="L684" s="41">
        <f>+Table13[[#This Row],[Bid Accepted]]-Table13[[#This Row],[Amount Offered]]</f>
        <v>-28119</v>
      </c>
      <c r="M684" s="57">
        <f>+IF(Table13[[#This Row],[WAYR Last]]&gt;0,IF(Table13[[#This Row],[WAYR Current]]&gt;0,(Table13[[#This Row],[WAYR Current]]-Table13[[#This Row],[WAYR Last]]),""),"")</f>
        <v>0</v>
      </c>
    </row>
    <row r="685" spans="1:13" x14ac:dyDescent="0.2">
      <c r="A685" s="53">
        <v>44921</v>
      </c>
      <c r="B685" s="10" t="s">
        <v>477</v>
      </c>
      <c r="C685" s="10">
        <v>364</v>
      </c>
      <c r="D685" s="10"/>
      <c r="E685" s="14">
        <v>20000</v>
      </c>
      <c r="F685" s="18">
        <v>20941</v>
      </c>
      <c r="G685" s="18">
        <v>706</v>
      </c>
      <c r="H685" s="33">
        <v>29.6</v>
      </c>
      <c r="I685" s="65">
        <v>29.6</v>
      </c>
      <c r="J685" s="74">
        <f t="array" ref="J685">_xlfn.IFS(Table13[[#This Row],[Days To Maturity]]=364,EDATE(Table13[[#This Row],[Date_d]],12),Table13[[#This Row],[Days To Maturity]]=182,EDATE(Table13[[#This Row],[Date_d]],6),Table13[[#This Row],[Days To Maturity]]=91,EDATE(Table13[[#This Row],[Date_d]],3))</f>
        <v>45286</v>
      </c>
      <c r="K685" s="75">
        <f>IFERROR(Table13[[#This Row],[Bid Accepted]]*(Table13[[#This Row],[WAYR Current]]%/364*Table13[[#This Row],[Days To Maturity]]),0)</f>
        <v>208.97600000000003</v>
      </c>
      <c r="L685" s="76">
        <f>+Table13[[#This Row],[Bid Accepted]]-Table13[[#This Row],[Amount Offered]]</f>
        <v>-19294</v>
      </c>
      <c r="M685" s="57">
        <f>+IF(Table13[[#This Row],[WAYR Last]]&gt;0,IF(Table13[[#This Row],[WAYR Current]]&gt;0,(Table13[[#This Row],[WAYR Current]]-Table13[[#This Row],[WAYR Last]]),""),"")</f>
        <v>0</v>
      </c>
    </row>
    <row r="686" spans="1:13" x14ac:dyDescent="0.2">
      <c r="A686" s="53">
        <v>44867</v>
      </c>
      <c r="B686" s="10" t="s">
        <v>478</v>
      </c>
      <c r="C686" s="10">
        <v>91</v>
      </c>
      <c r="D686" s="10"/>
      <c r="E686" s="14">
        <v>35000</v>
      </c>
      <c r="F686" s="18">
        <v>121509</v>
      </c>
      <c r="G686" s="18">
        <v>83480</v>
      </c>
      <c r="H686" s="33">
        <v>33.1</v>
      </c>
      <c r="I686" s="65">
        <v>33.049999999999997</v>
      </c>
      <c r="J686" s="12">
        <f t="array" ref="J686">_xlfn.IFS(Table13[[#This Row],[Days To Maturity]]=364,EDATE(Table13[[#This Row],[Date_d]],12),Table13[[#This Row],[Days To Maturity]]=182,EDATE(Table13[[#This Row],[Date_d]],6),Table13[[#This Row],[Days To Maturity]]=91,EDATE(Table13[[#This Row],[Date_d]],3))</f>
        <v>44959</v>
      </c>
      <c r="K686" s="59">
        <f>IFERROR(Table13[[#This Row],[Bid Accepted]]*(Table13[[#This Row],[WAYR Current]]%/364*Table13[[#This Row],[Days To Maturity]]),0)</f>
        <v>6907.97</v>
      </c>
      <c r="L686" s="41">
        <f>+Table13[[#This Row],[Bid Accepted]]-Table13[[#This Row],[Amount Offered]]</f>
        <v>48480</v>
      </c>
      <c r="M686" s="57">
        <f>+IF(Table13[[#This Row],[WAYR Last]]&gt;0,IF(Table13[[#This Row],[WAYR Current]]&gt;0,(Table13[[#This Row],[WAYR Current]]-Table13[[#This Row],[WAYR Last]]),""),"")</f>
        <v>5.0000000000004263E-2</v>
      </c>
    </row>
    <row r="687" spans="1:13" x14ac:dyDescent="0.2">
      <c r="A687" s="53">
        <v>44867</v>
      </c>
      <c r="B687" s="10" t="s">
        <v>479</v>
      </c>
      <c r="C687" s="10">
        <v>182</v>
      </c>
      <c r="D687" s="10"/>
      <c r="E687" s="14">
        <v>30000</v>
      </c>
      <c r="F687" s="18">
        <v>31732</v>
      </c>
      <c r="G687" s="18">
        <v>3517</v>
      </c>
      <c r="H687" s="33">
        <v>32.53</v>
      </c>
      <c r="I687" s="65">
        <v>32.53</v>
      </c>
      <c r="J687" s="12">
        <f t="array" ref="J687">_xlfn.IFS(Table13[[#This Row],[Days To Maturity]]=364,EDATE(Table13[[#This Row],[Date_d]],12),Table13[[#This Row],[Days To Maturity]]=182,EDATE(Table13[[#This Row],[Date_d]],6),Table13[[#This Row],[Days To Maturity]]=91,EDATE(Table13[[#This Row],[Date_d]],3))</f>
        <v>45048</v>
      </c>
      <c r="K687" s="59">
        <f>IFERROR(Table13[[#This Row],[Bid Accepted]]*(Table13[[#This Row],[WAYR Current]]%/364*Table13[[#This Row],[Days To Maturity]]),0)</f>
        <v>572.04005000000006</v>
      </c>
      <c r="L687" s="41">
        <f>+Table13[[#This Row],[Bid Accepted]]-Table13[[#This Row],[Amount Offered]]</f>
        <v>-26483</v>
      </c>
      <c r="M687" s="57">
        <f>+IF(Table13[[#This Row],[WAYR Last]]&gt;0,IF(Table13[[#This Row],[WAYR Current]]&gt;0,(Table13[[#This Row],[WAYR Current]]-Table13[[#This Row],[WAYR Last]]),""),"")</f>
        <v>0</v>
      </c>
    </row>
    <row r="688" spans="1:13" x14ac:dyDescent="0.2">
      <c r="A688" s="53">
        <v>44867</v>
      </c>
      <c r="B688" s="10" t="s">
        <v>480</v>
      </c>
      <c r="C688" s="10">
        <v>364</v>
      </c>
      <c r="D688" s="10"/>
      <c r="E688" s="14">
        <v>25000</v>
      </c>
      <c r="F688" s="18">
        <v>25594</v>
      </c>
      <c r="G688" s="18">
        <v>1651</v>
      </c>
      <c r="H688" s="33">
        <v>29.57</v>
      </c>
      <c r="I688" s="65">
        <v>29.6</v>
      </c>
      <c r="J688" s="12">
        <f t="array" ref="J688">_xlfn.IFS(Table13[[#This Row],[Days To Maturity]]=364,EDATE(Table13[[#This Row],[Date_d]],12),Table13[[#This Row],[Days To Maturity]]=182,EDATE(Table13[[#This Row],[Date_d]],6),Table13[[#This Row],[Days To Maturity]]=91,EDATE(Table13[[#This Row],[Date_d]],3))</f>
        <v>45232</v>
      </c>
      <c r="K688" s="59">
        <f>IFERROR(Table13[[#This Row],[Bid Accepted]]*(Table13[[#This Row],[WAYR Current]]%/364*Table13[[#This Row],[Days To Maturity]]),0)</f>
        <v>488.20070000000004</v>
      </c>
      <c r="L688" s="41">
        <f>+Table13[[#This Row],[Bid Accepted]]-Table13[[#This Row],[Amount Offered]]</f>
        <v>-23349</v>
      </c>
      <c r="M688" s="57">
        <f>+IF(Table13[[#This Row],[WAYR Last]]&gt;0,IF(Table13[[#This Row],[WAYR Current]]&gt;0,(Table13[[#This Row],[WAYR Current]]-Table13[[#This Row],[WAYR Last]]),""),"")</f>
        <v>-3.0000000000001137E-2</v>
      </c>
    </row>
  </sheetData>
  <mergeCells count="3">
    <mergeCell ref="P1:S1"/>
    <mergeCell ref="U1:X1"/>
    <mergeCell ref="AB1:AE1"/>
  </mergeCells>
  <conditionalFormatting sqref="C47:C208">
    <cfRule type="colorScale" priority="2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9:C223">
    <cfRule type="colorScale" priority="2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4:C226">
    <cfRule type="colorScale" priority="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7:C229"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0:C232">
    <cfRule type="colorScale" priority="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3:C235">
    <cfRule type="colorScale" priority="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6:C238">
    <cfRule type="colorScale" priority="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9:C241">
    <cfRule type="colorScale" priority="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2:C244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5:C247">
    <cfRule type="colorScale" priority="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8:C250"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1:C253">
    <cfRule type="colorScale" priority="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4:C256"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7:C259">
    <cfRule type="colorScale" priority="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0:C262"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3:C265">
    <cfRule type="colorScale" priority="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6:C268">
    <cfRule type="colorScale" priority="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9:C271">
    <cfRule type="colorScale" priority="2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2:C274">
    <cfRule type="colorScale" priority="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5:C277">
    <cfRule type="colorScale" priority="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8:C289">
    <cfRule type="colorScale" priority="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0:C292">
    <cfRule type="colorScale" priority="2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3:C295">
    <cfRule type="colorScale" priority="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6:C298">
    <cfRule type="colorScale" priority="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9:C301">
    <cfRule type="colorScale" priority="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2:C304">
    <cfRule type="colorScale" priority="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5:C307">
    <cfRule type="colorScale" priority="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8:C310">
    <cfRule type="colorScale" priority="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1:C313">
    <cfRule type="colorScale" priority="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4:C316">
    <cfRule type="colorScale" priority="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7:C319"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0:C322">
    <cfRule type="colorScale" priority="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3:C325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6:C328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9:C331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2:C334">
    <cfRule type="colorScale" priority="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5:C337">
    <cfRule type="colorScale" priority="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8:C340">
    <cfRule type="colorScale" priority="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41:C343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44:C349">
    <cfRule type="colorScale" priority="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50:C352">
    <cfRule type="colorScale" priority="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53:C355">
    <cfRule type="colorScale" priority="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56:C358"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59:C361">
    <cfRule type="colorScale" priority="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2:C364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5:C367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8:C370"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71:C373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74:C376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77:C379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80:C382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83:C385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86:C388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89:C391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2:C394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5:C397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8:C400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1:C403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4:C406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7:C412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3:C415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6:C418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9:C421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2:C424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5:C427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8:C430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1:C433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4:C436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7:C439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69:N394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:C301 C1">
    <cfRule type="colorScale" priority="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:C43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:C46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8:C40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5:C37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C34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C31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:C28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:C25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C22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19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:C16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3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0:C444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5:C448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 C9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 C6:C8 C10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9:C451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2:C454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5:C457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8:C460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1:C463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4:C466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7:C469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0:C478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9:C481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2:C484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5:C487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8:C490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91:C493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94:C496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97:C499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0:C502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3:C505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6:C511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12:C51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15:C517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18:C520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21:C523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24:C526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27:C529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30:C532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33:C53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36:C538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39:C541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42:C544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45:C547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48:C550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51:C56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69:C57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72:C57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75:C577">
    <cfRule type="colorScale" priority="2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78:C580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81:C583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87:C58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84:C586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90:C59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88">
    <cfRule type="cellIs" dxfId="17" priority="34" operator="greaterThan">
      <formula>1</formula>
    </cfRule>
    <cfRule type="cellIs" dxfId="16" priority="35" operator="between">
      <formula>0.5</formula>
      <formula>1</formula>
    </cfRule>
  </conditionalFormatting>
  <conditionalFormatting sqref="C593:C59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96:C59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99:C60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01:C60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14:C61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08:C61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05:C60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11:C61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17:C61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20:C62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23:C62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29:C64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26:C628">
    <cfRule type="colorScale" priority="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44:D64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ellIs" dxfId="15" priority="6" operator="lessThan">
      <formula>0</formula>
    </cfRule>
  </conditionalFormatting>
  <conditionalFormatting sqref="C656:C65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59:C6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62:C6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65:C6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47:C655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/>
  </sheetPr>
  <dimension ref="A1:H510"/>
  <sheetViews>
    <sheetView tabSelected="1" workbookViewId="0">
      <pane xSplit="1" ySplit="1" topLeftCell="B230" activePane="bottomRight" state="frozen"/>
      <selection pane="topRight" activeCell="B1" sqref="B1"/>
      <selection pane="bottomLeft" activeCell="A2" sqref="A2"/>
      <selection pane="bottomRight" activeCell="D254" sqref="D254"/>
    </sheetView>
  </sheetViews>
  <sheetFormatPr defaultRowHeight="12.75" x14ac:dyDescent="0.2"/>
  <cols>
    <col min="1" max="1" width="17.83203125" style="78" customWidth="1"/>
    <col min="2" max="2" width="16.33203125" style="64" bestFit="1" customWidth="1"/>
    <col min="3" max="3" width="13.33203125" style="64" bestFit="1" customWidth="1"/>
    <col min="4" max="4" width="13.6640625" style="64" bestFit="1" customWidth="1"/>
    <col min="5" max="5" width="13.6640625" style="7" customWidth="1"/>
    <col min="6" max="6" width="13.6640625" style="64" bestFit="1" customWidth="1"/>
    <col min="7" max="7" width="16.83203125" style="64" bestFit="1" customWidth="1"/>
    <col min="8" max="8" width="19" style="64" bestFit="1" customWidth="1"/>
  </cols>
  <sheetData>
    <row r="1" spans="1:8" s="49" customFormat="1" ht="24" customHeight="1" x14ac:dyDescent="0.2">
      <c r="A1" s="71" t="s">
        <v>481</v>
      </c>
      <c r="B1" s="72" t="s">
        <v>4</v>
      </c>
      <c r="C1" s="72" t="s">
        <v>5</v>
      </c>
      <c r="D1" s="72" t="s">
        <v>6</v>
      </c>
      <c r="E1" s="73" t="s">
        <v>482</v>
      </c>
      <c r="F1" s="72" t="s">
        <v>483</v>
      </c>
      <c r="G1" s="50" t="s">
        <v>484</v>
      </c>
      <c r="H1" s="50" t="s">
        <v>485</v>
      </c>
    </row>
    <row r="2" spans="1:8" x14ac:dyDescent="0.2">
      <c r="A2" s="45">
        <v>43103</v>
      </c>
      <c r="B2" s="64">
        <f>+SUMIF(Table13[Date_d],'Bill subs'!$A2,Table13[Amount Offered])</f>
        <v>15500</v>
      </c>
      <c r="C2" s="64">
        <f>+SUMIF(Table13[Date_d],'Bill subs'!$A2,Table13[Bid Received])</f>
        <v>26385</v>
      </c>
      <c r="D2" s="64">
        <f>+SUMIF(Table13[Date_d],'Bill subs'!$A2,Table13[Bid Accepted])</f>
        <v>11463</v>
      </c>
      <c r="E2" s="7">
        <f t="shared" ref="E2:E65" si="0">+D2-B2</f>
        <v>-4037</v>
      </c>
      <c r="F2" s="77">
        <f t="shared" ref="F2:F65" si="1">+D2/B2</f>
        <v>0.73954838709677417</v>
      </c>
      <c r="G2" s="64">
        <f t="array" ref="G2">+SUM(IF(Tbills!$A:$A='Bill subs'!A2,IF(Tbills!$C:$C=364,Tbills!$M:$M,""),""))</f>
        <v>0</v>
      </c>
      <c r="H2" s="64">
        <f t="array" ref="H2">+SUM(IF(Tbills!$A:$A='Bill subs'!A2,IF(Tbills!$C:$C=91,Tbills!$M:$M,""),""))</f>
        <v>0</v>
      </c>
    </row>
    <row r="3" spans="1:8" x14ac:dyDescent="0.2">
      <c r="A3" s="46">
        <v>43110</v>
      </c>
      <c r="B3" s="64">
        <f>+SUMIF(Table13[Date_d],'Bill subs'!$A3,Table13[Amount Offered])</f>
        <v>13500</v>
      </c>
      <c r="C3" s="64">
        <f>+SUMIF(Table13[Date_d],'Bill subs'!$A3,Table13[Bid Received])</f>
        <v>36809</v>
      </c>
      <c r="D3" s="64">
        <f>+SUMIF(Table13[Date_d],'Bill subs'!$A3,Table13[Bid Accepted])</f>
        <v>13500</v>
      </c>
      <c r="E3" s="7">
        <f t="shared" si="0"/>
        <v>0</v>
      </c>
      <c r="F3" s="77">
        <f t="shared" si="1"/>
        <v>1</v>
      </c>
      <c r="G3" s="64">
        <f t="array" ref="G3">+SUM(IF(Tbills!$A:$A='Bill subs'!A3,IF(Tbills!$C:$C=364,Tbills!$M:$M,""),""))</f>
        <v>0</v>
      </c>
      <c r="H3" s="64">
        <f t="array" ref="H3">+SUM(IF(Tbills!$A:$A='Bill subs'!A3,IF(Tbills!$C:$C=91,Tbills!$M:$M,""),""))</f>
        <v>0</v>
      </c>
    </row>
    <row r="4" spans="1:8" x14ac:dyDescent="0.2">
      <c r="A4" s="45">
        <v>43117</v>
      </c>
      <c r="B4" s="64">
        <f>+SUMIF(Table13[Date_d],'Bill subs'!$A4,Table13[Amount Offered])</f>
        <v>12500</v>
      </c>
      <c r="C4" s="64">
        <f>+SUMIF(Table13[Date_d],'Bill subs'!$A4,Table13[Bid Received])</f>
        <v>18864</v>
      </c>
      <c r="D4" s="64">
        <f>+SUMIF(Table13[Date_d],'Bill subs'!$A4,Table13[Bid Accepted])</f>
        <v>8327</v>
      </c>
      <c r="E4" s="7">
        <f t="shared" si="0"/>
        <v>-4173</v>
      </c>
      <c r="F4" s="77">
        <f t="shared" si="1"/>
        <v>0.66615999999999997</v>
      </c>
      <c r="G4" s="64">
        <f t="array" ref="G4">+SUM(IF(Tbills!$A:$A='Bill subs'!A4,IF(Tbills!$C:$C=364,Tbills!$M:$M,""),""))</f>
        <v>0</v>
      </c>
      <c r="H4" s="64">
        <f t="array" ref="H4">+SUM(IF(Tbills!$A:$A='Bill subs'!A4,IF(Tbills!$C:$C=91,Tbills!$M:$M,""),""))</f>
        <v>0</v>
      </c>
    </row>
    <row r="5" spans="1:8" x14ac:dyDescent="0.2">
      <c r="A5" s="46">
        <v>43124</v>
      </c>
      <c r="B5" s="64">
        <f>+SUMIF(Table13[Date_d],'Bill subs'!$A5,Table13[Amount Offered])</f>
        <v>14500</v>
      </c>
      <c r="C5" s="64">
        <f>+SUMIF(Table13[Date_d],'Bill subs'!$A5,Table13[Bid Received])</f>
        <v>30138</v>
      </c>
      <c r="D5" s="64">
        <f>+SUMIF(Table13[Date_d],'Bill subs'!$A5,Table13[Bid Accepted])</f>
        <v>9159</v>
      </c>
      <c r="E5" s="7">
        <f t="shared" si="0"/>
        <v>-5341</v>
      </c>
      <c r="F5" s="77">
        <f t="shared" si="1"/>
        <v>0.6316551724137931</v>
      </c>
      <c r="G5" s="64">
        <f t="array" ref="G5">+SUM(IF(Tbills!$A:$A='Bill subs'!A5,IF(Tbills!$C:$C=364,Tbills!$M:$M,""),""))</f>
        <v>0</v>
      </c>
      <c r="H5" s="64">
        <f t="array" ref="H5">+SUM(IF(Tbills!$A:$A='Bill subs'!A5,IF(Tbills!$C:$C=91,Tbills!$M:$M,""),""))</f>
        <v>0</v>
      </c>
    </row>
    <row r="6" spans="1:8" x14ac:dyDescent="0.2">
      <c r="A6" s="45">
        <v>43130</v>
      </c>
      <c r="B6" s="64">
        <f>+SUMIF(Table13[Date_d],'Bill subs'!$A6,Table13[Amount Offered])</f>
        <v>17000</v>
      </c>
      <c r="C6" s="64">
        <f>+SUMIF(Table13[Date_d],'Bill subs'!$A6,Table13[Bid Received])</f>
        <v>44468</v>
      </c>
      <c r="D6" s="64">
        <f>+SUMIF(Table13[Date_d],'Bill subs'!$A6,Table13[Bid Accepted])</f>
        <v>15534</v>
      </c>
      <c r="E6" s="7">
        <f t="shared" si="0"/>
        <v>-1466</v>
      </c>
      <c r="F6" s="77">
        <f t="shared" si="1"/>
        <v>0.91376470588235292</v>
      </c>
      <c r="G6" s="64">
        <f t="array" ref="G6">+SUM(IF(Tbills!$A:$A='Bill subs'!A6,IF(Tbills!$C:$C=364,Tbills!$M:$M,""),""))</f>
        <v>9.9999999999999645E-2</v>
      </c>
      <c r="H6" s="64">
        <f t="array" ref="H6">+SUM(IF(Tbills!$A:$A='Bill subs'!A6,IF(Tbills!$C:$C=91,Tbills!$M:$M,""),""))</f>
        <v>0</v>
      </c>
    </row>
    <row r="7" spans="1:8" x14ac:dyDescent="0.2">
      <c r="A7" s="46">
        <v>43138</v>
      </c>
      <c r="B7" s="64">
        <f>+SUMIF(Table13[Date_d],'Bill subs'!$A7,Table13[Amount Offered])</f>
        <v>14500</v>
      </c>
      <c r="C7" s="64">
        <f>+SUMIF(Table13[Date_d],'Bill subs'!$A7,Table13[Bid Received])</f>
        <v>32720</v>
      </c>
      <c r="D7" s="64">
        <f>+SUMIF(Table13[Date_d],'Bill subs'!$A7,Table13[Bid Accepted])</f>
        <v>18713</v>
      </c>
      <c r="E7" s="7">
        <f t="shared" si="0"/>
        <v>4213</v>
      </c>
      <c r="F7" s="77">
        <f t="shared" si="1"/>
        <v>1.290551724137931</v>
      </c>
      <c r="G7" s="64">
        <f t="array" ref="G7">+SUM(IF(Tbills!$A:$A='Bill subs'!A7,IF(Tbills!$C:$C=364,Tbills!$M:$M,""),""))</f>
        <v>8.9999999999999858E-2</v>
      </c>
      <c r="H7" s="64">
        <f t="array" ref="H7">+SUM(IF(Tbills!$A:$A='Bill subs'!A7,IF(Tbills!$C:$C=91,Tbills!$M:$M,""),""))</f>
        <v>0</v>
      </c>
    </row>
    <row r="8" spans="1:8" x14ac:dyDescent="0.2">
      <c r="A8" s="45">
        <v>43145</v>
      </c>
      <c r="B8" s="64">
        <f>+SUMIF(Table13[Date_d],'Bill subs'!$A8,Table13[Amount Offered])</f>
        <v>13000</v>
      </c>
      <c r="C8" s="64">
        <f>+SUMIF(Table13[Date_d],'Bill subs'!$A8,Table13[Bid Received])</f>
        <v>19033</v>
      </c>
      <c r="D8" s="64">
        <f>+SUMIF(Table13[Date_d],'Bill subs'!$A8,Table13[Bid Accepted])</f>
        <v>9010</v>
      </c>
      <c r="E8" s="7">
        <f t="shared" si="0"/>
        <v>-3990</v>
      </c>
      <c r="F8" s="77">
        <f t="shared" si="1"/>
        <v>0.69307692307692303</v>
      </c>
      <c r="G8" s="64">
        <f t="array" ref="G8">+SUM(IF(Tbills!$A:$A='Bill subs'!A8,IF(Tbills!$C:$C=364,Tbills!$M:$M,""),""))</f>
        <v>0.37999999999999901</v>
      </c>
      <c r="H8" s="64">
        <f t="array" ref="H8">+SUM(IF(Tbills!$A:$A='Bill subs'!A8,IF(Tbills!$C:$C=91,Tbills!$M:$M,""),""))</f>
        <v>0</v>
      </c>
    </row>
    <row r="9" spans="1:8" x14ac:dyDescent="0.2">
      <c r="A9" s="46">
        <v>43152</v>
      </c>
      <c r="B9" s="64">
        <f>+SUMIF(Table13[Date_d],'Bill subs'!$A9,Table13[Amount Offered])</f>
        <v>11000</v>
      </c>
      <c r="C9" s="64">
        <f>+SUMIF(Table13[Date_d],'Bill subs'!$A9,Table13[Bid Received])</f>
        <v>31256</v>
      </c>
      <c r="D9" s="64">
        <f>+SUMIF(Table13[Date_d],'Bill subs'!$A9,Table13[Bid Accepted])</f>
        <v>15246</v>
      </c>
      <c r="E9" s="7">
        <f t="shared" si="0"/>
        <v>4246</v>
      </c>
      <c r="F9" s="77">
        <f t="shared" si="1"/>
        <v>1.3859999999999999</v>
      </c>
      <c r="G9" s="64">
        <f t="array" ref="G9">+SUM(IF(Tbills!$A:$A='Bill subs'!A9,IF(Tbills!$C:$C=364,Tbills!$M:$M,""),""))</f>
        <v>0.54999999999999893</v>
      </c>
      <c r="H9" s="64">
        <f t="array" ref="H9">+SUM(IF(Tbills!$A:$A='Bill subs'!A9,IF(Tbills!$C:$C=91,Tbills!$M:$M,""),""))</f>
        <v>0</v>
      </c>
    </row>
    <row r="10" spans="1:8" x14ac:dyDescent="0.2">
      <c r="A10" s="45">
        <v>43158</v>
      </c>
      <c r="B10" s="64">
        <f>+SUMIF(Table13[Date_d],'Bill subs'!$A10,Table13[Amount Offered])</f>
        <v>13000</v>
      </c>
      <c r="C10" s="64">
        <f>+SUMIF(Table13[Date_d],'Bill subs'!$A10,Table13[Bid Received])</f>
        <v>41578</v>
      </c>
      <c r="D10" s="64">
        <f>+SUMIF(Table13[Date_d],'Bill subs'!$A10,Table13[Bid Accepted])</f>
        <v>30000</v>
      </c>
      <c r="E10" s="7">
        <f t="shared" si="0"/>
        <v>17000</v>
      </c>
      <c r="F10" s="77">
        <f t="shared" si="1"/>
        <v>2.3076923076923075</v>
      </c>
      <c r="G10" s="64">
        <f t="array" ref="G10">+SUM(IF(Tbills!$A:$A='Bill subs'!A10,IF(Tbills!$C:$C=364,Tbills!$M:$M,""),""))</f>
        <v>0.65000000000000036</v>
      </c>
      <c r="H10" s="64">
        <f t="array" ref="H10">+SUM(IF(Tbills!$A:$A='Bill subs'!A10,IF(Tbills!$C:$C=91,Tbills!$M:$M,""),""))</f>
        <v>0</v>
      </c>
    </row>
    <row r="11" spans="1:8" x14ac:dyDescent="0.2">
      <c r="A11" s="46">
        <v>43166</v>
      </c>
      <c r="B11" s="64">
        <f>+SUMIF(Table13[Date_d],'Bill subs'!$A11,Table13[Amount Offered])</f>
        <v>15000</v>
      </c>
      <c r="C11" s="64">
        <f>+SUMIF(Table13[Date_d],'Bill subs'!$A11,Table13[Bid Received])</f>
        <v>35769</v>
      </c>
      <c r="D11" s="64">
        <f>+SUMIF(Table13[Date_d],'Bill subs'!$A11,Table13[Bid Accepted])</f>
        <v>21169</v>
      </c>
      <c r="E11" s="7">
        <f t="shared" si="0"/>
        <v>6169</v>
      </c>
      <c r="F11" s="77">
        <f t="shared" si="1"/>
        <v>1.4112666666666667</v>
      </c>
      <c r="G11" s="64">
        <f t="array" ref="G11">+SUM(IF(Tbills!$A:$A='Bill subs'!A11,IF(Tbills!$C:$C=364,Tbills!$M:$M,""),""))</f>
        <v>0.38000000000000078</v>
      </c>
      <c r="H11" s="64">
        <f t="array" ref="H11">+SUM(IF(Tbills!$A:$A='Bill subs'!A11,IF(Tbills!$C:$C=91,Tbills!$M:$M,""),""))</f>
        <v>0</v>
      </c>
    </row>
    <row r="12" spans="1:8" x14ac:dyDescent="0.2">
      <c r="A12" s="45">
        <v>43173</v>
      </c>
      <c r="B12" s="64">
        <f>+SUMIF(Table13[Date_d],'Bill subs'!$A12,Table13[Amount Offered])</f>
        <v>14000</v>
      </c>
      <c r="C12" s="64">
        <f>+SUMIF(Table13[Date_d],'Bill subs'!$A12,Table13[Bid Received])</f>
        <v>48688</v>
      </c>
      <c r="D12" s="64">
        <f>+SUMIF(Table13[Date_d],'Bill subs'!$A12,Table13[Bid Accepted])</f>
        <v>23500</v>
      </c>
      <c r="E12" s="7">
        <f t="shared" si="0"/>
        <v>9500</v>
      </c>
      <c r="F12" s="77">
        <f t="shared" si="1"/>
        <v>1.6785714285714286</v>
      </c>
      <c r="G12" s="64">
        <f t="array" ref="G12">+SUM(IF(Tbills!$A:$A='Bill subs'!A12,IF(Tbills!$C:$C=364,Tbills!$M:$M,""),""))</f>
        <v>0.25</v>
      </c>
      <c r="H12" s="64">
        <f t="array" ref="H12">+SUM(IF(Tbills!$A:$A='Bill subs'!A12,IF(Tbills!$C:$C=91,Tbills!$M:$M,""),""))</f>
        <v>0</v>
      </c>
    </row>
    <row r="13" spans="1:8" x14ac:dyDescent="0.2">
      <c r="A13" s="46">
        <v>43180</v>
      </c>
      <c r="B13" s="64">
        <f>+SUMIF(Table13[Date_d],'Bill subs'!$A13,Table13[Amount Offered])</f>
        <v>15000</v>
      </c>
      <c r="C13" s="64">
        <f>+SUMIF(Table13[Date_d],'Bill subs'!$A13,Table13[Bid Received])</f>
        <v>51527</v>
      </c>
      <c r="D13" s="64">
        <f>+SUMIF(Table13[Date_d],'Bill subs'!$A13,Table13[Bid Accepted])</f>
        <v>22000</v>
      </c>
      <c r="E13" s="7">
        <f t="shared" si="0"/>
        <v>7000</v>
      </c>
      <c r="F13" s="77">
        <f t="shared" si="1"/>
        <v>1.4666666666666666</v>
      </c>
      <c r="G13" s="64">
        <f t="array" ref="G13">+SUM(IF(Tbills!$A:$A='Bill subs'!A13,IF(Tbills!$C:$C=364,Tbills!$M:$M,""),""))</f>
        <v>7.0000000000000284E-2</v>
      </c>
      <c r="H13" s="64">
        <f t="array" ref="H13">+SUM(IF(Tbills!$A:$A='Bill subs'!A13,IF(Tbills!$C:$C=91,Tbills!$M:$M,""),""))</f>
        <v>0</v>
      </c>
    </row>
    <row r="14" spans="1:8" x14ac:dyDescent="0.2">
      <c r="A14" s="45">
        <v>43186</v>
      </c>
      <c r="B14" s="64">
        <f>+SUMIF(Table13[Date_d],'Bill subs'!$A14,Table13[Amount Offered])</f>
        <v>13500</v>
      </c>
      <c r="C14" s="64">
        <f>+SUMIF(Table13[Date_d],'Bill subs'!$A14,Table13[Bid Received])</f>
        <v>35432</v>
      </c>
      <c r="D14" s="64">
        <f>+SUMIF(Table13[Date_d],'Bill subs'!$A14,Table13[Bid Accepted])</f>
        <v>25500</v>
      </c>
      <c r="E14" s="7">
        <f t="shared" si="0"/>
        <v>12000</v>
      </c>
      <c r="F14" s="77">
        <f t="shared" si="1"/>
        <v>1.8888888888888888</v>
      </c>
      <c r="G14" s="64">
        <f t="array" ref="G14">+SUM(IF(Tbills!$A:$A='Bill subs'!A14,IF(Tbills!$C:$C=364,Tbills!$M:$M,""),""))</f>
        <v>2.9999999999999361E-2</v>
      </c>
      <c r="H14" s="64">
        <f t="array" ref="H14">+SUM(IF(Tbills!$A:$A='Bill subs'!A14,IF(Tbills!$C:$C=91,Tbills!$M:$M,""),""))</f>
        <v>0</v>
      </c>
    </row>
    <row r="15" spans="1:8" x14ac:dyDescent="0.2">
      <c r="A15" s="46">
        <v>43194</v>
      </c>
      <c r="B15" s="64">
        <f>+SUMIF(Table13[Date_d],'Bill subs'!$A15,Table13[Amount Offered])</f>
        <v>16000</v>
      </c>
      <c r="C15" s="64">
        <f>+SUMIF(Table13[Date_d],'Bill subs'!$A15,Table13[Bid Received])</f>
        <v>66060</v>
      </c>
      <c r="D15" s="64">
        <f>+SUMIF(Table13[Date_d],'Bill subs'!$A15,Table13[Bid Accepted])</f>
        <v>28000</v>
      </c>
      <c r="E15" s="7">
        <f t="shared" si="0"/>
        <v>12000</v>
      </c>
      <c r="F15" s="77">
        <f t="shared" si="1"/>
        <v>1.75</v>
      </c>
      <c r="G15" s="64">
        <f t="array" ref="G15">+SUM(IF(Tbills!$A:$A='Bill subs'!A15,IF(Tbills!$C:$C=364,Tbills!$M:$M,""),""))</f>
        <v>0.21000000000000085</v>
      </c>
      <c r="H15" s="64">
        <f t="array" ref="H15">+SUM(IF(Tbills!$A:$A='Bill subs'!A15,IF(Tbills!$C:$C=91,Tbills!$M:$M,""),""))</f>
        <v>0</v>
      </c>
    </row>
    <row r="16" spans="1:8" x14ac:dyDescent="0.2">
      <c r="A16" s="45">
        <v>43200</v>
      </c>
      <c r="B16" s="64">
        <f>+SUMIF(Table13[Date_d],'Bill subs'!$A16,Table13[Amount Offered])</f>
        <v>16000</v>
      </c>
      <c r="C16" s="64">
        <f>+SUMIF(Table13[Date_d],'Bill subs'!$A16,Table13[Bid Received])</f>
        <v>64044</v>
      </c>
      <c r="D16" s="64">
        <f>+SUMIF(Table13[Date_d],'Bill subs'!$A16,Table13[Bid Accepted])</f>
        <v>28000</v>
      </c>
      <c r="E16" s="7">
        <f t="shared" si="0"/>
        <v>12000</v>
      </c>
      <c r="F16" s="77">
        <f t="shared" si="1"/>
        <v>1.75</v>
      </c>
      <c r="G16" s="64">
        <f t="array" ref="G16">+SUM(IF(Tbills!$A:$A='Bill subs'!A16,IF(Tbills!$C:$C=364,Tbills!$M:$M,""),""))</f>
        <v>5.0000000000000711E-2</v>
      </c>
      <c r="H16" s="64">
        <f t="array" ref="H16">+SUM(IF(Tbills!$A:$A='Bill subs'!A16,IF(Tbills!$C:$C=91,Tbills!$M:$M,""),""))</f>
        <v>0</v>
      </c>
    </row>
    <row r="17" spans="1:8" x14ac:dyDescent="0.2">
      <c r="A17" s="46">
        <v>43215</v>
      </c>
      <c r="B17" s="64">
        <f>+SUMIF(Table13[Date_d],'Bill subs'!$A17,Table13[Amount Offered])</f>
        <v>20000</v>
      </c>
      <c r="C17" s="64">
        <f>+SUMIF(Table13[Date_d],'Bill subs'!$A17,Table13[Bid Received])</f>
        <v>69677</v>
      </c>
      <c r="D17" s="64">
        <f>+SUMIF(Table13[Date_d],'Bill subs'!$A17,Table13[Bid Accepted])</f>
        <v>25000</v>
      </c>
      <c r="E17" s="7">
        <f t="shared" si="0"/>
        <v>5000</v>
      </c>
      <c r="F17" s="77">
        <f t="shared" si="1"/>
        <v>1.25</v>
      </c>
      <c r="G17" s="64">
        <f t="array" ref="G17">+SUM(IF(Tbills!$A:$A='Bill subs'!A17,IF(Tbills!$C:$C=364,Tbills!$M:$M,""),""))</f>
        <v>-9.9999999999999645E-2</v>
      </c>
      <c r="H17" s="64">
        <f t="array" ref="H17">+SUM(IF(Tbills!$A:$A='Bill subs'!A17,IF(Tbills!$C:$C=91,Tbills!$M:$M,""),""))</f>
        <v>0</v>
      </c>
    </row>
    <row r="18" spans="1:8" x14ac:dyDescent="0.2">
      <c r="A18" s="45">
        <v>43222</v>
      </c>
      <c r="B18" s="64">
        <f>+SUMIF(Table13[Date_d],'Bill subs'!$A18,Table13[Amount Offered])</f>
        <v>19000</v>
      </c>
      <c r="C18" s="64">
        <f>+SUMIF(Table13[Date_d],'Bill subs'!$A18,Table13[Bid Received])</f>
        <v>55293</v>
      </c>
      <c r="D18" s="64">
        <f>+SUMIF(Table13[Date_d],'Bill subs'!$A18,Table13[Bid Accepted])</f>
        <v>28000</v>
      </c>
      <c r="E18" s="7">
        <f t="shared" si="0"/>
        <v>9000</v>
      </c>
      <c r="F18" s="77">
        <f t="shared" si="1"/>
        <v>1.4736842105263157</v>
      </c>
      <c r="G18" s="64">
        <f t="array" ref="G18">+SUM(IF(Tbills!$A:$A='Bill subs'!A18,IF(Tbills!$C:$C=364,Tbills!$M:$M,""),""))</f>
        <v>-0.30000000000000071</v>
      </c>
      <c r="H18" s="64">
        <f t="array" ref="H18">+SUM(IF(Tbills!$A:$A='Bill subs'!A18,IF(Tbills!$C:$C=91,Tbills!$M:$M,""),""))</f>
        <v>0</v>
      </c>
    </row>
    <row r="19" spans="1:8" x14ac:dyDescent="0.2">
      <c r="A19" s="46">
        <v>43229</v>
      </c>
      <c r="B19" s="64">
        <f>+SUMIF(Table13[Date_d],'Bill subs'!$A19,Table13[Amount Offered])</f>
        <v>16000</v>
      </c>
      <c r="C19" s="64">
        <f>+SUMIF(Table13[Date_d],'Bill subs'!$A19,Table13[Bid Received])</f>
        <v>42396</v>
      </c>
      <c r="D19" s="64">
        <f>+SUMIF(Table13[Date_d],'Bill subs'!$A19,Table13[Bid Accepted])</f>
        <v>21034</v>
      </c>
      <c r="E19" s="7">
        <f t="shared" si="0"/>
        <v>5034</v>
      </c>
      <c r="F19" s="77">
        <f t="shared" si="1"/>
        <v>1.3146249999999999</v>
      </c>
      <c r="G19" s="64">
        <f t="array" ref="G19">+SUM(IF(Tbills!$A:$A='Bill subs'!A19,IF(Tbills!$C:$C=364,Tbills!$M:$M,""),""))</f>
        <v>-6.0000000000000497E-2</v>
      </c>
      <c r="H19" s="64">
        <f t="array" ref="H19">+SUM(IF(Tbills!$A:$A='Bill subs'!A19,IF(Tbills!$C:$C=91,Tbills!$M:$M,""),""))</f>
        <v>0</v>
      </c>
    </row>
    <row r="20" spans="1:8" x14ac:dyDescent="0.2">
      <c r="A20" s="45">
        <v>43236</v>
      </c>
      <c r="B20" s="64">
        <f>+SUMIF(Table13[Date_d],'Bill subs'!$A20,Table13[Amount Offered])</f>
        <v>14000</v>
      </c>
      <c r="C20" s="64">
        <f>+SUMIF(Table13[Date_d],'Bill subs'!$A20,Table13[Bid Received])</f>
        <v>45321</v>
      </c>
      <c r="D20" s="64">
        <f>+SUMIF(Table13[Date_d],'Bill subs'!$A20,Table13[Bid Accepted])</f>
        <v>21298</v>
      </c>
      <c r="E20" s="7">
        <f t="shared" si="0"/>
        <v>7298</v>
      </c>
      <c r="F20" s="77">
        <f t="shared" si="1"/>
        <v>1.5212857142857144</v>
      </c>
      <c r="G20" s="64">
        <f t="array" ref="G20">+SUM(IF(Tbills!$A:$A='Bill subs'!A20,IF(Tbills!$C:$C=364,Tbills!$M:$M,""),""))</f>
        <v>0.10999999999999943</v>
      </c>
      <c r="H20" s="64">
        <f t="array" ref="H20">+SUM(IF(Tbills!$A:$A='Bill subs'!A20,IF(Tbills!$C:$C=91,Tbills!$M:$M,""),""))</f>
        <v>0</v>
      </c>
    </row>
    <row r="21" spans="1:8" x14ac:dyDescent="0.2">
      <c r="A21" s="46">
        <v>43243</v>
      </c>
      <c r="B21" s="64">
        <f>+SUMIF(Table13[Date_d],'Bill subs'!$A21,Table13[Amount Offered])</f>
        <v>12000</v>
      </c>
      <c r="C21" s="64">
        <f>+SUMIF(Table13[Date_d],'Bill subs'!$A21,Table13[Bid Received])</f>
        <v>36887</v>
      </c>
      <c r="D21" s="64">
        <f>+SUMIF(Table13[Date_d],'Bill subs'!$A21,Table13[Bid Accepted])</f>
        <v>16149</v>
      </c>
      <c r="E21" s="7">
        <f t="shared" si="0"/>
        <v>4149</v>
      </c>
      <c r="F21" s="77">
        <f t="shared" si="1"/>
        <v>1.34575</v>
      </c>
      <c r="G21" s="64">
        <f t="array" ref="G21">+SUM(IF(Tbills!$A:$A='Bill subs'!A21,IF(Tbills!$C:$C=364,Tbills!$M:$M,""),""))</f>
        <v>0.12000000000000099</v>
      </c>
      <c r="H21" s="64">
        <f t="array" ref="H21">+SUM(IF(Tbills!$A:$A='Bill subs'!A21,IF(Tbills!$C:$C=91,Tbills!$M:$M,""),""))</f>
        <v>0</v>
      </c>
    </row>
    <row r="22" spans="1:8" x14ac:dyDescent="0.2">
      <c r="A22" s="45">
        <v>43250</v>
      </c>
      <c r="B22" s="64">
        <f>+SUMIF(Table13[Date_d],'Bill subs'!$A22,Table13[Amount Offered])</f>
        <v>5000</v>
      </c>
      <c r="C22" s="64">
        <f>+SUMIF(Table13[Date_d],'Bill subs'!$A22,Table13[Bid Received])</f>
        <v>47262</v>
      </c>
      <c r="D22" s="64">
        <f>+SUMIF(Table13[Date_d],'Bill subs'!$A22,Table13[Bid Accepted])</f>
        <v>8434</v>
      </c>
      <c r="E22" s="7">
        <f t="shared" si="0"/>
        <v>3434</v>
      </c>
      <c r="F22" s="77">
        <f t="shared" si="1"/>
        <v>1.6868000000000001</v>
      </c>
      <c r="G22" s="64">
        <f t="array" ref="G22">+SUM(IF(Tbills!$A:$A='Bill subs'!A22,IF(Tbills!$C:$C=364,Tbills!$M:$M,""),""))</f>
        <v>-3.0000000000001137E-2</v>
      </c>
      <c r="H22" s="64">
        <f t="array" ref="H22">+SUM(IF(Tbills!$A:$A='Bill subs'!A22,IF(Tbills!$C:$C=91,Tbills!$M:$M,""),""))</f>
        <v>0</v>
      </c>
    </row>
    <row r="23" spans="1:8" x14ac:dyDescent="0.2">
      <c r="A23" s="46">
        <v>43257</v>
      </c>
      <c r="B23" s="64">
        <f>+SUMIF(Table13[Date_d],'Bill subs'!$A23,Table13[Amount Offered])</f>
        <v>5000</v>
      </c>
      <c r="C23" s="64">
        <f>+SUMIF(Table13[Date_d],'Bill subs'!$A23,Table13[Bid Received])</f>
        <v>41228</v>
      </c>
      <c r="D23" s="64">
        <f>+SUMIF(Table13[Date_d],'Bill subs'!$A23,Table13[Bid Accepted])</f>
        <v>5678</v>
      </c>
      <c r="E23" s="7">
        <f t="shared" si="0"/>
        <v>678</v>
      </c>
      <c r="F23" s="77">
        <f t="shared" si="1"/>
        <v>1.1355999999999999</v>
      </c>
      <c r="G23" s="64">
        <f t="array" ref="G23">+SUM(IF(Tbills!$A:$A='Bill subs'!A23,IF(Tbills!$C:$C=364,Tbills!$M:$M,""),""))</f>
        <v>-0.20999999999999908</v>
      </c>
      <c r="H23" s="64">
        <f t="array" ref="H23">+SUM(IF(Tbills!$A:$A='Bill subs'!A23,IF(Tbills!$C:$C=91,Tbills!$M:$M,""),""))</f>
        <v>0</v>
      </c>
    </row>
    <row r="24" spans="1:8" x14ac:dyDescent="0.2">
      <c r="A24" s="45">
        <v>43263</v>
      </c>
      <c r="B24" s="64">
        <f>+SUMIF(Table13[Date_d],'Bill subs'!$A24,Table13[Amount Offered])</f>
        <v>6000</v>
      </c>
      <c r="C24" s="64">
        <f>+SUMIF(Table13[Date_d],'Bill subs'!$A24,Table13[Bid Received])</f>
        <v>35850</v>
      </c>
      <c r="D24" s="64">
        <f>+SUMIF(Table13[Date_d],'Bill subs'!$A24,Table13[Bid Accepted])</f>
        <v>7949</v>
      </c>
      <c r="E24" s="7">
        <f t="shared" si="0"/>
        <v>1949</v>
      </c>
      <c r="F24" s="77">
        <f t="shared" si="1"/>
        <v>1.3248333333333333</v>
      </c>
      <c r="G24" s="64">
        <f t="array" ref="G24">+SUM(IF(Tbills!$A:$A='Bill subs'!A24,IF(Tbills!$C:$C=364,Tbills!$M:$M,""),""))</f>
        <v>-0.29000000000000092</v>
      </c>
      <c r="H24" s="64">
        <f t="array" ref="H24">+SUM(IF(Tbills!$A:$A='Bill subs'!A24,IF(Tbills!$C:$C=91,Tbills!$M:$M,""),""))</f>
        <v>0</v>
      </c>
    </row>
    <row r="25" spans="1:8" x14ac:dyDescent="0.2">
      <c r="A25" s="46">
        <v>43271</v>
      </c>
      <c r="B25" s="64">
        <f>+SUMIF(Table13[Date_d],'Bill subs'!$A25,Table13[Amount Offered])</f>
        <v>9000</v>
      </c>
      <c r="C25" s="64">
        <f>+SUMIF(Table13[Date_d],'Bill subs'!$A25,Table13[Bid Received])</f>
        <v>35592</v>
      </c>
      <c r="D25" s="64">
        <f>+SUMIF(Table13[Date_d],'Bill subs'!$A25,Table13[Bid Accepted])</f>
        <v>9000</v>
      </c>
      <c r="E25" s="7">
        <f t="shared" si="0"/>
        <v>0</v>
      </c>
      <c r="F25" s="77">
        <f t="shared" si="1"/>
        <v>1</v>
      </c>
      <c r="G25" s="64">
        <f t="array" ref="G25">+SUM(IF(Tbills!$A:$A='Bill subs'!A25,IF(Tbills!$C:$C=364,Tbills!$M:$M,""),""))</f>
        <v>-0.25</v>
      </c>
      <c r="H25" s="64">
        <f t="array" ref="H25">+SUM(IF(Tbills!$A:$A='Bill subs'!A25,IF(Tbills!$C:$C=91,Tbills!$M:$M,""),""))</f>
        <v>0</v>
      </c>
    </row>
    <row r="26" spans="1:8" x14ac:dyDescent="0.2">
      <c r="A26" s="45">
        <v>43277</v>
      </c>
      <c r="B26" s="64">
        <f>+SUMIF(Table13[Date_d],'Bill subs'!$A26,Table13[Amount Offered])</f>
        <v>8000</v>
      </c>
      <c r="C26" s="64">
        <f>+SUMIF(Table13[Date_d],'Bill subs'!$A26,Table13[Bid Received])</f>
        <v>16723</v>
      </c>
      <c r="D26" s="64">
        <f>+SUMIF(Table13[Date_d],'Bill subs'!$A26,Table13[Bid Accepted])</f>
        <v>10133</v>
      </c>
      <c r="E26" s="7">
        <f t="shared" si="0"/>
        <v>2133</v>
      </c>
      <c r="F26" s="77">
        <f t="shared" si="1"/>
        <v>1.2666249999999999</v>
      </c>
      <c r="G26" s="64">
        <f t="array" ref="G26">+SUM(IF(Tbills!$A:$A='Bill subs'!A26,IF(Tbills!$C:$C=364,Tbills!$M:$M,""),""))</f>
        <v>-9.9999999999999645E-2</v>
      </c>
      <c r="H26" s="64">
        <f t="array" ref="H26">+SUM(IF(Tbills!$A:$A='Bill subs'!A26,IF(Tbills!$C:$C=91,Tbills!$M:$M,""),""))</f>
        <v>0</v>
      </c>
    </row>
    <row r="27" spans="1:8" x14ac:dyDescent="0.2">
      <c r="A27" s="45">
        <v>43285</v>
      </c>
      <c r="B27" s="64">
        <f>+SUMIF(Table13[Date_d],'Bill subs'!$A27,Table13[Amount Offered])</f>
        <v>12000</v>
      </c>
      <c r="C27" s="64">
        <f>+SUMIF(Table13[Date_d],'Bill subs'!$A27,Table13[Bid Received])</f>
        <v>26473</v>
      </c>
      <c r="D27" s="64">
        <f>+SUMIF(Table13[Date_d],'Bill subs'!$A27,Table13[Bid Accepted])</f>
        <v>10036</v>
      </c>
      <c r="E27" s="7">
        <f t="shared" si="0"/>
        <v>-1964</v>
      </c>
      <c r="F27" s="77">
        <f t="shared" si="1"/>
        <v>0.83633333333333337</v>
      </c>
      <c r="G27" s="64">
        <f t="array" ref="G27">+SUM(IF(Tbills!$A:$A='Bill subs'!A27,IF(Tbills!$C:$C=364,Tbills!$M:$M,""),""))</f>
        <v>-9.9999999999997868E-3</v>
      </c>
      <c r="H27" s="64">
        <f t="array" ref="H27">+SUM(IF(Tbills!$A:$A='Bill subs'!A27,IF(Tbills!$C:$C=91,Tbills!$M:$M,""),""))</f>
        <v>0</v>
      </c>
    </row>
    <row r="28" spans="1:8" x14ac:dyDescent="0.2">
      <c r="A28" s="45">
        <v>43292</v>
      </c>
      <c r="B28" s="64">
        <f>+SUMIF(Table13[Date_d],'Bill subs'!$A28,Table13[Amount Offered])</f>
        <v>11000</v>
      </c>
      <c r="C28" s="64">
        <f>+SUMIF(Table13[Date_d],'Bill subs'!$A28,Table13[Bid Received])</f>
        <v>37767</v>
      </c>
      <c r="D28" s="64">
        <f>+SUMIF(Table13[Date_d],'Bill subs'!$A28,Table13[Bid Accepted])</f>
        <v>8889</v>
      </c>
      <c r="E28" s="7">
        <f t="shared" si="0"/>
        <v>-2111</v>
      </c>
      <c r="F28" s="77">
        <f t="shared" si="1"/>
        <v>0.80809090909090908</v>
      </c>
      <c r="G28" s="64">
        <f t="array" ref="G28">+SUM(IF(Tbills!$A:$A='Bill subs'!A28,IF(Tbills!$C:$C=364,Tbills!$M:$M,""),""))</f>
        <v>3.9999999999999147E-2</v>
      </c>
      <c r="H28" s="64">
        <f t="array" ref="H28">+SUM(IF(Tbills!$A:$A='Bill subs'!A28,IF(Tbills!$C:$C=91,Tbills!$M:$M,""),""))</f>
        <v>0</v>
      </c>
    </row>
    <row r="29" spans="1:8" x14ac:dyDescent="0.2">
      <c r="A29" s="45">
        <v>43299</v>
      </c>
      <c r="B29" s="64">
        <f>+SUMIF(Table13[Date_d],'Bill subs'!$A29,Table13[Amount Offered])</f>
        <v>12000</v>
      </c>
      <c r="C29" s="64">
        <f>+SUMIF(Table13[Date_d],'Bill subs'!$A29,Table13[Bid Received])</f>
        <v>68670</v>
      </c>
      <c r="D29" s="64">
        <f>+SUMIF(Table13[Date_d],'Bill subs'!$A29,Table13[Bid Accepted])</f>
        <v>12000</v>
      </c>
      <c r="E29" s="7">
        <f t="shared" si="0"/>
        <v>0</v>
      </c>
      <c r="F29" s="77">
        <f t="shared" si="1"/>
        <v>1</v>
      </c>
      <c r="G29" s="64">
        <f t="array" ref="G29">+SUM(IF(Tbills!$A:$A='Bill subs'!A29,IF(Tbills!$C:$C=364,Tbills!$M:$M,""),""))</f>
        <v>0.46000000000000085</v>
      </c>
      <c r="H29" s="64">
        <f t="array" ref="H29">+SUM(IF(Tbills!$A:$A='Bill subs'!A29,IF(Tbills!$C:$C=91,Tbills!$M:$M,""),""))</f>
        <v>0</v>
      </c>
    </row>
    <row r="30" spans="1:8" x14ac:dyDescent="0.2">
      <c r="A30" s="45">
        <v>43305</v>
      </c>
      <c r="B30" s="64">
        <f>+SUMIF(Table13[Date_d],'Bill subs'!$A30,Table13[Amount Offered])</f>
        <v>18000</v>
      </c>
      <c r="C30" s="64">
        <f>+SUMIF(Table13[Date_d],'Bill subs'!$A30,Table13[Bid Received])</f>
        <v>63891</v>
      </c>
      <c r="D30" s="64">
        <f>+SUMIF(Table13[Date_d],'Bill subs'!$A30,Table13[Bid Accepted])</f>
        <v>23700</v>
      </c>
      <c r="E30" s="7">
        <f t="shared" si="0"/>
        <v>5700</v>
      </c>
      <c r="F30" s="77">
        <f t="shared" si="1"/>
        <v>1.3166666666666667</v>
      </c>
      <c r="G30" s="64" t="e">
        <f t="array" ref="G30">+SUM(IF(Tbills!$A:$A='Bill subs'!A30,IF(Tbills!$C:$C=364,Tbills!$M:$M,""),""))</f>
        <v>#VALUE!</v>
      </c>
      <c r="H30" s="64">
        <f t="array" ref="H30">+SUM(IF(Tbills!$A:$A='Bill subs'!A30,IF(Tbills!$C:$C=91,Tbills!$M:$M,""),""))</f>
        <v>0</v>
      </c>
    </row>
    <row r="31" spans="1:8" x14ac:dyDescent="0.2">
      <c r="A31" s="45">
        <v>43313</v>
      </c>
      <c r="B31" s="64">
        <f>+SUMIF(Table13[Date_d],'Bill subs'!$A31,Table13[Amount Offered])</f>
        <v>20500</v>
      </c>
      <c r="C31" s="64">
        <f>+SUMIF(Table13[Date_d],'Bill subs'!$A31,Table13[Bid Received])</f>
        <v>69026</v>
      </c>
      <c r="D31" s="64">
        <f>+SUMIF(Table13[Date_d],'Bill subs'!$A31,Table13[Bid Accepted])</f>
        <v>19331</v>
      </c>
      <c r="E31" s="7">
        <f t="shared" si="0"/>
        <v>-1169</v>
      </c>
      <c r="F31" s="77">
        <f t="shared" si="1"/>
        <v>0.94297560975609751</v>
      </c>
      <c r="G31" s="64">
        <f t="array" ref="G31">+SUM(IF(Tbills!$A:$A='Bill subs'!A31,IF(Tbills!$C:$C=364,Tbills!$M:$M,""),""))</f>
        <v>0.48000000000000043</v>
      </c>
      <c r="H31" s="64">
        <f t="array" ref="H31">+SUM(IF(Tbills!$A:$A='Bill subs'!A31,IF(Tbills!$C:$C=91,Tbills!$M:$M,""),""))</f>
        <v>0</v>
      </c>
    </row>
    <row r="32" spans="1:8" x14ac:dyDescent="0.2">
      <c r="A32" s="45">
        <v>43320</v>
      </c>
      <c r="B32" s="64">
        <f>+SUMIF(Table13[Date_d],'Bill subs'!$A32,Table13[Amount Offered])</f>
        <v>15500</v>
      </c>
      <c r="C32" s="64">
        <f>+SUMIF(Table13[Date_d],'Bill subs'!$A32,Table13[Bid Received])</f>
        <v>69235</v>
      </c>
      <c r="D32" s="64">
        <f>+SUMIF(Table13[Date_d],'Bill subs'!$A32,Table13[Bid Accepted])</f>
        <v>15500</v>
      </c>
      <c r="E32" s="7">
        <f t="shared" si="0"/>
        <v>0</v>
      </c>
      <c r="F32" s="77">
        <f t="shared" si="1"/>
        <v>1</v>
      </c>
      <c r="G32" s="64">
        <f t="array" ref="G32">+SUM(IF(Tbills!$A:$A='Bill subs'!A32,IF(Tbills!$C:$C=364,Tbills!$M:$M,""),""))</f>
        <v>0.41999999999999993</v>
      </c>
      <c r="H32" s="64">
        <f t="array" ref="H32">+SUM(IF(Tbills!$A:$A='Bill subs'!A32,IF(Tbills!$C:$C=91,Tbills!$M:$M,""),""))</f>
        <v>0</v>
      </c>
    </row>
    <row r="33" spans="1:8" x14ac:dyDescent="0.2">
      <c r="A33" s="45">
        <v>43327</v>
      </c>
      <c r="B33" s="64">
        <f>+SUMIF(Table13[Date_d],'Bill subs'!$A33,Table13[Amount Offered])</f>
        <v>15000</v>
      </c>
      <c r="C33" s="64">
        <f>+SUMIF(Table13[Date_d],'Bill subs'!$A33,Table13[Bid Received])</f>
        <v>69082</v>
      </c>
      <c r="D33" s="64">
        <f>+SUMIF(Table13[Date_d],'Bill subs'!$A33,Table13[Bid Accepted])</f>
        <v>15000</v>
      </c>
      <c r="E33" s="7">
        <f t="shared" si="0"/>
        <v>0</v>
      </c>
      <c r="F33" s="77">
        <f t="shared" si="1"/>
        <v>1</v>
      </c>
      <c r="G33" s="64" t="e">
        <f t="array" ref="G33">+SUM(IF(Tbills!$A:$A='Bill subs'!A33,IF(Tbills!$C:$C=364,Tbills!$M:$M,""),""))</f>
        <v>#VALUE!</v>
      </c>
      <c r="H33" s="64">
        <f t="array" ref="H33">+SUM(IF(Tbills!$A:$A='Bill subs'!A33,IF(Tbills!$C:$C=91,Tbills!$M:$M,""),""))</f>
        <v>0</v>
      </c>
    </row>
    <row r="34" spans="1:8" x14ac:dyDescent="0.2">
      <c r="A34" s="45">
        <v>43333</v>
      </c>
      <c r="B34" s="64">
        <f>+SUMIF(Table13[Date_d],'Bill subs'!$A34,Table13[Amount Offered])</f>
        <v>14000</v>
      </c>
      <c r="C34" s="64">
        <f>+SUMIF(Table13[Date_d],'Bill subs'!$A34,Table13[Bid Received])</f>
        <v>39615</v>
      </c>
      <c r="D34" s="64">
        <f>+SUMIF(Table13[Date_d],'Bill subs'!$A34,Table13[Bid Accepted])</f>
        <v>14000</v>
      </c>
      <c r="E34" s="7">
        <f t="shared" si="0"/>
        <v>0</v>
      </c>
      <c r="F34" s="77">
        <f t="shared" si="1"/>
        <v>1</v>
      </c>
      <c r="G34" s="64">
        <f t="array" ref="G34">+SUM(IF(Tbills!$A:$A='Bill subs'!A34,IF(Tbills!$C:$C=364,Tbills!$M:$M,""),""))</f>
        <v>0.30000000000000071</v>
      </c>
      <c r="H34" s="64">
        <f t="array" ref="H34">+SUM(IF(Tbills!$A:$A='Bill subs'!A34,IF(Tbills!$C:$C=91,Tbills!$M:$M,""),""))</f>
        <v>0</v>
      </c>
    </row>
    <row r="35" spans="1:8" x14ac:dyDescent="0.2">
      <c r="A35" s="45">
        <v>43341</v>
      </c>
      <c r="B35" s="64">
        <f>+SUMIF(Table13[Date_d],'Bill subs'!$A35,Table13[Amount Offered])</f>
        <v>7500</v>
      </c>
      <c r="C35" s="64">
        <f>+SUMIF(Table13[Date_d],'Bill subs'!$A35,Table13[Bid Received])</f>
        <v>25655</v>
      </c>
      <c r="D35" s="64">
        <f>+SUMIF(Table13[Date_d],'Bill subs'!$A35,Table13[Bid Accepted])</f>
        <v>7500</v>
      </c>
      <c r="E35" s="7">
        <f t="shared" si="0"/>
        <v>0</v>
      </c>
      <c r="F35" s="77">
        <f t="shared" si="1"/>
        <v>1</v>
      </c>
      <c r="G35" s="64">
        <f t="array" ref="G35">+SUM(IF(Tbills!$A:$A='Bill subs'!A35,IF(Tbills!$C:$C=364,Tbills!$M:$M,""),""))</f>
        <v>0.37000000000000099</v>
      </c>
      <c r="H35" s="64">
        <f t="array" ref="H35">+SUM(IF(Tbills!$A:$A='Bill subs'!A35,IF(Tbills!$C:$C=91,Tbills!$M:$M,""),""))</f>
        <v>0</v>
      </c>
    </row>
    <row r="36" spans="1:8" x14ac:dyDescent="0.2">
      <c r="A36" s="45">
        <v>43348</v>
      </c>
      <c r="B36" s="64">
        <f>+SUMIF(Table13[Date_d],'Bill subs'!$A36,Table13[Amount Offered])</f>
        <v>7000</v>
      </c>
      <c r="C36" s="64">
        <f>+SUMIF(Table13[Date_d],'Bill subs'!$A36,Table13[Bid Received])</f>
        <v>21226</v>
      </c>
      <c r="D36" s="64">
        <f>+SUMIF(Table13[Date_d],'Bill subs'!$A36,Table13[Bid Accepted])</f>
        <v>7000</v>
      </c>
      <c r="E36" s="7">
        <f t="shared" si="0"/>
        <v>0</v>
      </c>
      <c r="F36" s="77">
        <f t="shared" si="1"/>
        <v>1</v>
      </c>
      <c r="G36" s="64">
        <f t="array" ref="G36">+SUM(IF(Tbills!$A:$A='Bill subs'!A36,IF(Tbills!$C:$C=364,Tbills!$M:$M,""),""))</f>
        <v>0.37000000000000099</v>
      </c>
      <c r="H36" s="64">
        <f t="array" ref="H36">+SUM(IF(Tbills!$A:$A='Bill subs'!A36,IF(Tbills!$C:$C=91,Tbills!$M:$M,""),""))</f>
        <v>0</v>
      </c>
    </row>
    <row r="37" spans="1:8" x14ac:dyDescent="0.2">
      <c r="A37" s="45">
        <v>43355</v>
      </c>
      <c r="B37" s="64">
        <f>+SUMIF(Table13[Date_d],'Bill subs'!$A37,Table13[Amount Offered])</f>
        <v>12500</v>
      </c>
      <c r="C37" s="64">
        <f>+SUMIF(Table13[Date_d],'Bill subs'!$A37,Table13[Bid Received])</f>
        <v>21199</v>
      </c>
      <c r="D37" s="64">
        <f>+SUMIF(Table13[Date_d],'Bill subs'!$A37,Table13[Bid Accepted])</f>
        <v>12500</v>
      </c>
      <c r="E37" s="7">
        <f t="shared" si="0"/>
        <v>0</v>
      </c>
      <c r="F37" s="77">
        <f t="shared" si="1"/>
        <v>1</v>
      </c>
      <c r="G37" s="64" t="e">
        <f t="array" ref="G37">+SUM(IF(Tbills!$A:$A='Bill subs'!A37,IF(Tbills!$C:$C=364,Tbills!$M:$M,""),""))</f>
        <v>#VALUE!</v>
      </c>
      <c r="H37" s="64">
        <f t="array" ref="H37">+SUM(IF(Tbills!$A:$A='Bill subs'!A37,IF(Tbills!$C:$C=91,Tbills!$M:$M,""),""))</f>
        <v>0</v>
      </c>
    </row>
    <row r="38" spans="1:8" x14ac:dyDescent="0.2">
      <c r="A38" s="45">
        <v>43362</v>
      </c>
      <c r="B38" s="64">
        <f>+SUMIF(Table13[Date_d],'Bill subs'!$A38,Table13[Amount Offered])</f>
        <v>13500</v>
      </c>
      <c r="C38" s="64">
        <f>+SUMIF(Table13[Date_d],'Bill subs'!$A38,Table13[Bid Received])</f>
        <v>22195</v>
      </c>
      <c r="D38" s="64">
        <f>+SUMIF(Table13[Date_d],'Bill subs'!$A38,Table13[Bid Accepted])</f>
        <v>0</v>
      </c>
      <c r="E38" s="7">
        <f t="shared" si="0"/>
        <v>-13500</v>
      </c>
      <c r="F38" s="77">
        <f t="shared" si="1"/>
        <v>0</v>
      </c>
      <c r="G38" s="64" t="e">
        <f t="array" ref="G38">+SUM(IF(Tbills!$A:$A='Bill subs'!A38,IF(Tbills!$C:$C=364,Tbills!$M:$M,""),""))</f>
        <v>#VALUE!</v>
      </c>
      <c r="H38" s="64">
        <f t="array" ref="H38">+SUM(IF(Tbills!$A:$A='Bill subs'!A38,IF(Tbills!$C:$C=91,Tbills!$M:$M,""),""))</f>
        <v>0</v>
      </c>
    </row>
    <row r="39" spans="1:8" x14ac:dyDescent="0.2">
      <c r="A39" s="45">
        <v>43369</v>
      </c>
      <c r="B39" s="64">
        <f>+SUMIF(Table13[Date_d],'Bill subs'!$A39,Table13[Amount Offered])</f>
        <v>5000</v>
      </c>
      <c r="C39" s="64">
        <f>+SUMIF(Table13[Date_d],'Bill subs'!$A39,Table13[Bid Received])</f>
        <v>10302</v>
      </c>
      <c r="D39" s="64">
        <f>+SUMIF(Table13[Date_d],'Bill subs'!$A39,Table13[Bid Accepted])</f>
        <v>3302</v>
      </c>
      <c r="E39" s="7">
        <f t="shared" si="0"/>
        <v>-1698</v>
      </c>
      <c r="F39" s="77">
        <f t="shared" si="1"/>
        <v>0.66039999999999999</v>
      </c>
      <c r="G39" s="64" t="e">
        <f t="array" ref="G39">+SUM(IF(Tbills!$A:$A='Bill subs'!A39,IF(Tbills!$C:$C=364,Tbills!$M:$M,""),""))</f>
        <v>#VALUE!</v>
      </c>
      <c r="H39" s="64">
        <f t="array" ref="H39">+SUM(IF(Tbills!$A:$A='Bill subs'!A39,IF(Tbills!$C:$C=91,Tbills!$M:$M,""),""))</f>
        <v>0</v>
      </c>
    </row>
    <row r="40" spans="1:8" x14ac:dyDescent="0.2">
      <c r="A40" s="46">
        <v>43376</v>
      </c>
      <c r="B40" s="64">
        <f>+SUMIF(Table13[Date_d],'Bill subs'!$A40,Table13[Amount Offered])</f>
        <v>6000</v>
      </c>
      <c r="C40" s="64">
        <f>+SUMIF(Table13[Date_d],'Bill subs'!$A40,Table13[Bid Received])</f>
        <v>13922</v>
      </c>
      <c r="D40" s="64">
        <f>+SUMIF(Table13[Date_d],'Bill subs'!$A40,Table13[Bid Accepted])</f>
        <v>0</v>
      </c>
      <c r="E40" s="7">
        <f t="shared" si="0"/>
        <v>-6000</v>
      </c>
      <c r="F40" s="77">
        <f t="shared" si="1"/>
        <v>0</v>
      </c>
      <c r="G40" s="64" t="e">
        <f t="array" ref="G40">+SUM(IF(Tbills!$A:$A='Bill subs'!A40,IF(Tbills!$C:$C=364,Tbills!$M:$M,""),""))</f>
        <v>#VALUE!</v>
      </c>
      <c r="H40" s="64" t="e">
        <f t="array" ref="H40">+SUM(IF(Tbills!$A:$A='Bill subs'!A40,IF(Tbills!$C:$C=91,Tbills!$M:$M,""),""))</f>
        <v>#VALUE!</v>
      </c>
    </row>
    <row r="41" spans="1:8" x14ac:dyDescent="0.2">
      <c r="A41" s="45">
        <v>43383</v>
      </c>
      <c r="B41" s="64">
        <f>+SUMIF(Table13[Date_d],'Bill subs'!$A41,Table13[Amount Offered])</f>
        <v>11000</v>
      </c>
      <c r="C41" s="64">
        <f>+SUMIF(Table13[Date_d],'Bill subs'!$A41,Table13[Bid Received])</f>
        <v>17311</v>
      </c>
      <c r="D41" s="64">
        <f>+SUMIF(Table13[Date_d],'Bill subs'!$A41,Table13[Bid Accepted])</f>
        <v>11000</v>
      </c>
      <c r="E41" s="7">
        <f t="shared" si="0"/>
        <v>0</v>
      </c>
      <c r="F41" s="77">
        <f t="shared" si="1"/>
        <v>1</v>
      </c>
      <c r="G41" s="64" t="e">
        <f t="array" ref="G41">+SUM(IF(Tbills!$A:$A='Bill subs'!A41,IF(Tbills!$C:$C=364,Tbills!$M:$M,""),""))</f>
        <v>#VALUE!</v>
      </c>
      <c r="H41" s="64" t="e">
        <f t="array" ref="H41">+SUM(IF(Tbills!$A:$A='Bill subs'!A41,IF(Tbills!$C:$C=91,Tbills!$M:$M,""),""))</f>
        <v>#VALUE!</v>
      </c>
    </row>
    <row r="42" spans="1:8" x14ac:dyDescent="0.2">
      <c r="A42" s="46">
        <v>43390</v>
      </c>
      <c r="B42" s="64">
        <f>+SUMIF(Table13[Date_d],'Bill subs'!$A42,Table13[Amount Offered])</f>
        <v>8000</v>
      </c>
      <c r="C42" s="64">
        <f>+SUMIF(Table13[Date_d],'Bill subs'!$A42,Table13[Bid Received])</f>
        <v>27465</v>
      </c>
      <c r="D42" s="64">
        <f>+SUMIF(Table13[Date_d],'Bill subs'!$A42,Table13[Bid Accepted])</f>
        <v>7897</v>
      </c>
      <c r="E42" s="7">
        <f t="shared" si="0"/>
        <v>-103</v>
      </c>
      <c r="F42" s="77">
        <f t="shared" si="1"/>
        <v>0.98712500000000003</v>
      </c>
      <c r="G42" s="64">
        <f t="array" ref="G42">+SUM(IF(Tbills!$A:$A='Bill subs'!A42,IF(Tbills!$C:$C=364,Tbills!$M:$M,""),""))</f>
        <v>0.25</v>
      </c>
      <c r="H42" s="64">
        <f t="array" ref="H42">+SUM(IF(Tbills!$A:$A='Bill subs'!A42,IF(Tbills!$C:$C=91,Tbills!$M:$M,""),""))</f>
        <v>0.20000000000000107</v>
      </c>
    </row>
    <row r="43" spans="1:8" x14ac:dyDescent="0.2">
      <c r="A43" s="45">
        <v>43396</v>
      </c>
      <c r="B43" s="64">
        <f>+SUMIF(Table13[Date_d],'Bill subs'!$A43,Table13[Amount Offered])</f>
        <v>7500</v>
      </c>
      <c r="C43" s="64">
        <f>+SUMIF(Table13[Date_d],'Bill subs'!$A43,Table13[Bid Received])</f>
        <v>34293</v>
      </c>
      <c r="D43" s="64">
        <f>+SUMIF(Table13[Date_d],'Bill subs'!$A43,Table13[Bid Accepted])</f>
        <v>7500</v>
      </c>
      <c r="E43" s="7">
        <f t="shared" si="0"/>
        <v>0</v>
      </c>
      <c r="F43" s="77">
        <f t="shared" si="1"/>
        <v>1</v>
      </c>
      <c r="G43" s="64">
        <f t="array" ref="G43">+SUM(IF(Tbills!$A:$A='Bill subs'!A43,IF(Tbills!$C:$C=364,Tbills!$M:$M,""),""))</f>
        <v>-4.9999999999998934E-2</v>
      </c>
      <c r="H43" s="64" t="e">
        <f t="array" ref="H43">+SUM(IF(Tbills!$A:$A='Bill subs'!A43,IF(Tbills!$C:$C=91,Tbills!$M:$M,""),""))</f>
        <v>#VALUE!</v>
      </c>
    </row>
    <row r="44" spans="1:8" x14ac:dyDescent="0.2">
      <c r="A44" s="46">
        <v>43404</v>
      </c>
      <c r="B44" s="64">
        <f>+SUMIF(Table13[Date_d],'Bill subs'!$A44,Table13[Amount Offered])</f>
        <v>13000</v>
      </c>
      <c r="C44" s="64">
        <f>+SUMIF(Table13[Date_d],'Bill subs'!$A44,Table13[Bid Received])</f>
        <v>23834</v>
      </c>
      <c r="D44" s="64">
        <f>+SUMIF(Table13[Date_d],'Bill subs'!$A44,Table13[Bid Accepted])</f>
        <v>0</v>
      </c>
      <c r="E44" s="7">
        <f t="shared" si="0"/>
        <v>-13000</v>
      </c>
      <c r="F44" s="77">
        <f t="shared" si="1"/>
        <v>0</v>
      </c>
      <c r="G44" s="64" t="e">
        <f t="array" ref="G44">+SUM(IF(Tbills!$A:$A='Bill subs'!A44,IF(Tbills!$C:$C=364,Tbills!$M:$M,""),""))</f>
        <v>#VALUE!</v>
      </c>
      <c r="H44" s="64" t="e">
        <f t="array" ref="H44">+SUM(IF(Tbills!$A:$A='Bill subs'!A44,IF(Tbills!$C:$C=91,Tbills!$M:$M,""),""))</f>
        <v>#VALUE!</v>
      </c>
    </row>
    <row r="45" spans="1:8" x14ac:dyDescent="0.2">
      <c r="A45" s="45">
        <v>43411</v>
      </c>
      <c r="B45" s="64">
        <f>+SUMIF(Table13[Date_d],'Bill subs'!$A45,Table13[Amount Offered])</f>
        <v>16000</v>
      </c>
      <c r="C45" s="64">
        <f>+SUMIF(Table13[Date_d],'Bill subs'!$A45,Table13[Bid Received])</f>
        <v>26566</v>
      </c>
      <c r="D45" s="64">
        <f>+SUMIF(Table13[Date_d],'Bill subs'!$A45,Table13[Bid Accepted])</f>
        <v>15366</v>
      </c>
      <c r="E45" s="7">
        <f t="shared" si="0"/>
        <v>-634</v>
      </c>
      <c r="F45" s="77">
        <f t="shared" si="1"/>
        <v>0.96037499999999998</v>
      </c>
      <c r="G45" s="64" t="e">
        <f t="array" ref="G45">+SUM(IF(Tbills!$A:$A='Bill subs'!A45,IF(Tbills!$C:$C=364,Tbills!$M:$M,""),""))</f>
        <v>#VALUE!</v>
      </c>
      <c r="H45" s="64" t="e">
        <f t="array" ref="H45">+SUM(IF(Tbills!$A:$A='Bill subs'!A45,IF(Tbills!$C:$C=91,Tbills!$M:$M,""),""))</f>
        <v>#VALUE!</v>
      </c>
    </row>
    <row r="46" spans="1:8" x14ac:dyDescent="0.2">
      <c r="A46" s="46">
        <v>43418</v>
      </c>
      <c r="B46" s="64">
        <f>+SUMIF(Table13[Date_d],'Bill subs'!$A46,Table13[Amount Offered])</f>
        <v>14000</v>
      </c>
      <c r="C46" s="64">
        <f>+SUMIF(Table13[Date_d],'Bill subs'!$A46,Table13[Bid Received])</f>
        <v>38393</v>
      </c>
      <c r="D46" s="64">
        <f>+SUMIF(Table13[Date_d],'Bill subs'!$A46,Table13[Bid Accepted])</f>
        <v>9856</v>
      </c>
      <c r="E46" s="7">
        <f t="shared" si="0"/>
        <v>-4144</v>
      </c>
      <c r="F46" s="77">
        <f t="shared" si="1"/>
        <v>0.70399999999999996</v>
      </c>
      <c r="G46" s="64">
        <f t="array" ref="G46">+SUM(IF(Tbills!$A:$A='Bill subs'!A46,IF(Tbills!$C:$C=364,Tbills!$M:$M,""),""))</f>
        <v>0.35999999999999943</v>
      </c>
      <c r="H46" s="64">
        <f t="array" ref="H46">+SUM(IF(Tbills!$A:$A='Bill subs'!A46,IF(Tbills!$C:$C=91,Tbills!$M:$M,""),""))</f>
        <v>0.41999999999999993</v>
      </c>
    </row>
    <row r="47" spans="1:8" x14ac:dyDescent="0.2">
      <c r="A47" s="45">
        <v>43423</v>
      </c>
      <c r="B47" s="64">
        <f>+SUMIF(Table13[Date_d],'Bill subs'!$A47,Table13[Amount Offered])</f>
        <v>15500</v>
      </c>
      <c r="C47" s="64">
        <f>+SUMIF(Table13[Date_d],'Bill subs'!$A47,Table13[Bid Received])</f>
        <v>48526</v>
      </c>
      <c r="D47" s="64">
        <f>+SUMIF(Table13[Date_d],'Bill subs'!$A47,Table13[Bid Accepted])</f>
        <v>15500</v>
      </c>
      <c r="E47" s="7">
        <f t="shared" si="0"/>
        <v>0</v>
      </c>
      <c r="F47" s="77">
        <f t="shared" si="1"/>
        <v>1</v>
      </c>
      <c r="G47" s="64">
        <f t="array" ref="G47">+SUM(IF(Tbills!$A:$A='Bill subs'!A47,IF(Tbills!$C:$C=364,Tbills!$M:$M,""),""))</f>
        <v>-3.9999999999999147E-2</v>
      </c>
      <c r="H47" s="64">
        <f t="array" ref="H47">+SUM(IF(Tbills!$A:$A='Bill subs'!A47,IF(Tbills!$C:$C=91,Tbills!$M:$M,""),""))</f>
        <v>-6.0000000000000497E-2</v>
      </c>
    </row>
    <row r="48" spans="1:8" x14ac:dyDescent="0.2">
      <c r="A48" s="46">
        <v>43432</v>
      </c>
      <c r="B48" s="64">
        <f>+SUMIF(Table13[Date_d],'Bill subs'!$A48,Table13[Amount Offered])</f>
        <v>18000</v>
      </c>
      <c r="C48" s="64">
        <f>+SUMIF(Table13[Date_d],'Bill subs'!$A48,Table13[Bid Received])</f>
        <v>57969</v>
      </c>
      <c r="D48" s="64">
        <f>+SUMIF(Table13[Date_d],'Bill subs'!$A48,Table13[Bid Accepted])</f>
        <v>18000</v>
      </c>
      <c r="E48" s="7">
        <f t="shared" si="0"/>
        <v>0</v>
      </c>
      <c r="F48" s="77">
        <f t="shared" si="1"/>
        <v>1</v>
      </c>
      <c r="G48" s="64">
        <f t="array" ref="G48">+SUM(IF(Tbills!$A:$A='Bill subs'!A48,IF(Tbills!$C:$C=364,Tbills!$M:$M,""),""))</f>
        <v>-1.0000000000001563E-2</v>
      </c>
      <c r="H48" s="64" t="e">
        <f t="array" ref="H48">+SUM(IF(Tbills!$A:$A='Bill subs'!A48,IF(Tbills!$C:$C=91,Tbills!$M:$M,""),""))</f>
        <v>#VALUE!</v>
      </c>
    </row>
    <row r="49" spans="1:8" x14ac:dyDescent="0.2">
      <c r="A49" s="45">
        <v>43439</v>
      </c>
      <c r="B49" s="64">
        <f>+SUMIF(Table13[Date_d],'Bill subs'!$A49,Table13[Amount Offered])</f>
        <v>19000</v>
      </c>
      <c r="C49" s="64">
        <f>+SUMIF(Table13[Date_d],'Bill subs'!$A49,Table13[Bid Received])</f>
        <v>58249</v>
      </c>
      <c r="D49" s="64">
        <f>+SUMIF(Table13[Date_d],'Bill subs'!$A49,Table13[Bid Accepted])</f>
        <v>19000</v>
      </c>
      <c r="E49" s="7">
        <f t="shared" si="0"/>
        <v>0</v>
      </c>
      <c r="F49" s="77">
        <f t="shared" si="1"/>
        <v>1</v>
      </c>
      <c r="G49" s="64">
        <f t="array" ref="G49">+SUM(IF(Tbills!$A:$A='Bill subs'!A49,IF(Tbills!$C:$C=364,Tbills!$M:$M,""),""))</f>
        <v>0</v>
      </c>
      <c r="H49" s="64" t="e">
        <f t="array" ref="H49">+SUM(IF(Tbills!$A:$A='Bill subs'!A49,IF(Tbills!$C:$C=91,Tbills!$M:$M,""),""))</f>
        <v>#VALUE!</v>
      </c>
    </row>
    <row r="50" spans="1:8" x14ac:dyDescent="0.2">
      <c r="A50" s="46">
        <v>43446</v>
      </c>
      <c r="B50" s="64">
        <f>+SUMIF(Table13[Date_d],'Bill subs'!$A50,Table13[Amount Offered])</f>
        <v>23000</v>
      </c>
      <c r="C50" s="64">
        <f>+SUMIF(Table13[Date_d],'Bill subs'!$A50,Table13[Bid Received])</f>
        <v>48386</v>
      </c>
      <c r="D50" s="64">
        <f>+SUMIF(Table13[Date_d],'Bill subs'!$A50,Table13[Bid Accepted])</f>
        <v>23000</v>
      </c>
      <c r="E50" s="7">
        <f t="shared" si="0"/>
        <v>0</v>
      </c>
      <c r="F50" s="77">
        <f t="shared" si="1"/>
        <v>1</v>
      </c>
      <c r="G50" s="64">
        <f t="array" ref="G50">+SUM(IF(Tbills!$A:$A='Bill subs'!A50,IF(Tbills!$C:$C=364,Tbills!$M:$M,""),""))</f>
        <v>4.0000000000000924E-2</v>
      </c>
      <c r="H50" s="64" t="e">
        <f t="array" ref="H50">+SUM(IF(Tbills!$A:$A='Bill subs'!A50,IF(Tbills!$C:$C=91,Tbills!$M:$M,""),""))</f>
        <v>#VALUE!</v>
      </c>
    </row>
    <row r="51" spans="1:8" x14ac:dyDescent="0.2">
      <c r="A51" s="45">
        <v>43453</v>
      </c>
      <c r="B51" s="64">
        <f>+SUMIF(Table13[Date_d],'Bill subs'!$A51,Table13[Amount Offered])</f>
        <v>18000</v>
      </c>
      <c r="C51" s="64">
        <f>+SUMIF(Table13[Date_d],'Bill subs'!$A51,Table13[Bid Received])</f>
        <v>62860</v>
      </c>
      <c r="D51" s="64">
        <f>+SUMIF(Table13[Date_d],'Bill subs'!$A51,Table13[Bid Accepted])</f>
        <v>18000</v>
      </c>
      <c r="E51" s="7">
        <f t="shared" si="0"/>
        <v>0</v>
      </c>
      <c r="F51" s="77">
        <f t="shared" si="1"/>
        <v>1</v>
      </c>
      <c r="G51" s="64">
        <f t="array" ref="G51">+SUM(IF(Tbills!$A:$A='Bill subs'!A51,IF(Tbills!$C:$C=364,Tbills!$M:$M,""),""))</f>
        <v>-4.0000000000000924E-2</v>
      </c>
      <c r="H51" s="64" t="e">
        <f t="array" ref="H51">+SUM(IF(Tbills!$A:$A='Bill subs'!A51,IF(Tbills!$C:$C=91,Tbills!$M:$M,""),""))</f>
        <v>#VALUE!</v>
      </c>
    </row>
    <row r="52" spans="1:8" x14ac:dyDescent="0.2">
      <c r="A52" s="46">
        <v>43467</v>
      </c>
      <c r="B52" s="64">
        <f>+SUMIF(Table13[Date_d],'Bill subs'!$A52,Table13[Amount Offered])</f>
        <v>15500</v>
      </c>
      <c r="C52" s="64">
        <f>+SUMIF(Table13[Date_d],'Bill subs'!$A52,Table13[Bid Received])</f>
        <v>65500</v>
      </c>
      <c r="D52" s="64">
        <f>+SUMIF(Table13[Date_d],'Bill subs'!$A52,Table13[Bid Accepted])</f>
        <v>15500</v>
      </c>
      <c r="E52" s="7">
        <f t="shared" si="0"/>
        <v>0</v>
      </c>
      <c r="F52" s="77">
        <f t="shared" si="1"/>
        <v>1</v>
      </c>
      <c r="G52" s="64">
        <f t="array" ref="G52">+SUM(IF(Tbills!$A:$A='Bill subs'!A52,IF(Tbills!$C:$C=364,Tbills!$M:$M,""),""))</f>
        <v>-0.20999999999999908</v>
      </c>
      <c r="H52" s="64" t="e">
        <f t="array" ref="H52">+SUM(IF(Tbills!$A:$A='Bill subs'!A52,IF(Tbills!$C:$C=91,Tbills!$M:$M,""),""))</f>
        <v>#VALUE!</v>
      </c>
    </row>
    <row r="53" spans="1:8" x14ac:dyDescent="0.2">
      <c r="A53" s="45">
        <v>43474</v>
      </c>
      <c r="B53" s="64">
        <f>+SUMIF(Table13[Date_d],'Bill subs'!$A53,Table13[Amount Offered])</f>
        <v>20000</v>
      </c>
      <c r="C53" s="64">
        <f>+SUMIF(Table13[Date_d],'Bill subs'!$A53,Table13[Bid Received])</f>
        <v>55838</v>
      </c>
      <c r="D53" s="64">
        <f>+SUMIF(Table13[Date_d],'Bill subs'!$A53,Table13[Bid Accepted])</f>
        <v>20000</v>
      </c>
      <c r="E53" s="7">
        <f t="shared" si="0"/>
        <v>0</v>
      </c>
      <c r="F53" s="77">
        <f t="shared" si="1"/>
        <v>1</v>
      </c>
      <c r="G53" s="64">
        <f t="array" ref="G53">+SUM(IF(Tbills!$A:$A='Bill subs'!A53,IF(Tbills!$C:$C=364,Tbills!$M:$M,""),""))</f>
        <v>-0.14000000000000057</v>
      </c>
      <c r="H53" s="64" t="e">
        <f t="array" ref="H53">+SUM(IF(Tbills!$A:$A='Bill subs'!A53,IF(Tbills!$C:$C=91,Tbills!$M:$M,""),""))</f>
        <v>#VALUE!</v>
      </c>
    </row>
    <row r="54" spans="1:8" x14ac:dyDescent="0.2">
      <c r="A54" s="46">
        <v>43481</v>
      </c>
      <c r="B54" s="64">
        <f>+SUMIF(Table13[Date_d],'Bill subs'!$A54,Table13[Amount Offered])</f>
        <v>26000</v>
      </c>
      <c r="C54" s="64">
        <f>+SUMIF(Table13[Date_d],'Bill subs'!$A54,Table13[Bid Received])</f>
        <v>69751</v>
      </c>
      <c r="D54" s="64">
        <f>+SUMIF(Table13[Date_d],'Bill subs'!$A54,Table13[Bid Accepted])</f>
        <v>26000</v>
      </c>
      <c r="E54" s="7">
        <f t="shared" si="0"/>
        <v>0</v>
      </c>
      <c r="F54" s="77">
        <f t="shared" si="1"/>
        <v>1</v>
      </c>
      <c r="G54" s="64">
        <f t="array" ref="G54">+SUM(IF(Tbills!$A:$A='Bill subs'!A54,IF(Tbills!$C:$C=364,Tbills!$M:$M,""),""))</f>
        <v>-9.9999999999999645E-2</v>
      </c>
      <c r="H54" s="64" t="e">
        <f t="array" ref="H54">+SUM(IF(Tbills!$A:$A='Bill subs'!A54,IF(Tbills!$C:$C=91,Tbills!$M:$M,""),""))</f>
        <v>#VALUE!</v>
      </c>
    </row>
    <row r="55" spans="1:8" x14ac:dyDescent="0.2">
      <c r="A55" s="45">
        <v>43488</v>
      </c>
      <c r="B55" s="64">
        <f>+SUMIF(Table13[Date_d],'Bill subs'!$A55,Table13[Amount Offered])</f>
        <v>23500</v>
      </c>
      <c r="C55" s="64">
        <f>+SUMIF(Table13[Date_d],'Bill subs'!$A55,Table13[Bid Received])</f>
        <v>58242</v>
      </c>
      <c r="D55" s="64">
        <f>+SUMIF(Table13[Date_d],'Bill subs'!$A55,Table13[Bid Accepted])</f>
        <v>23500</v>
      </c>
      <c r="E55" s="7">
        <f t="shared" si="0"/>
        <v>0</v>
      </c>
      <c r="F55" s="77">
        <f t="shared" si="1"/>
        <v>1</v>
      </c>
      <c r="G55" s="64">
        <f t="array" ref="G55">+SUM(IF(Tbills!$A:$A='Bill subs'!A55,IF(Tbills!$C:$C=364,Tbills!$M:$M,""),""))</f>
        <v>-5.0000000000000711E-2</v>
      </c>
      <c r="H55" s="64" t="e">
        <f t="array" ref="H55">+SUM(IF(Tbills!$A:$A='Bill subs'!A55,IF(Tbills!$C:$C=91,Tbills!$M:$M,""),""))</f>
        <v>#VALUE!</v>
      </c>
    </row>
    <row r="56" spans="1:8" x14ac:dyDescent="0.2">
      <c r="A56" s="46">
        <v>43495</v>
      </c>
      <c r="B56" s="64">
        <f>+SUMIF(Table13[Date_d],'Bill subs'!$A56,Table13[Amount Offered])</f>
        <v>21000</v>
      </c>
      <c r="C56" s="64">
        <f>+SUMIF(Table13[Date_d],'Bill subs'!$A56,Table13[Bid Received])</f>
        <v>59185</v>
      </c>
      <c r="D56" s="64">
        <f>+SUMIF(Table13[Date_d],'Bill subs'!$A56,Table13[Bid Accepted])</f>
        <v>21000</v>
      </c>
      <c r="E56" s="7">
        <f t="shared" si="0"/>
        <v>0</v>
      </c>
      <c r="F56" s="77">
        <f t="shared" si="1"/>
        <v>1</v>
      </c>
      <c r="G56" s="64">
        <f t="array" ref="G56">+SUM(IF(Tbills!$A:$A='Bill subs'!A56,IF(Tbills!$C:$C=364,Tbills!$M:$M,""),""))</f>
        <v>-9.9999999999997868E-3</v>
      </c>
      <c r="H56" s="64" t="e">
        <f t="array" ref="H56">+SUM(IF(Tbills!$A:$A='Bill subs'!A56,IF(Tbills!$C:$C=91,Tbills!$M:$M,""),""))</f>
        <v>#VALUE!</v>
      </c>
    </row>
    <row r="57" spans="1:8" x14ac:dyDescent="0.2">
      <c r="A57" s="45">
        <v>43502</v>
      </c>
      <c r="B57" s="64">
        <f>+SUMIF(Table13[Date_d],'Bill subs'!$A57,Table13[Amount Offered])</f>
        <v>24000</v>
      </c>
      <c r="C57" s="64">
        <f>+SUMIF(Table13[Date_d],'Bill subs'!$A57,Table13[Bid Received])</f>
        <v>57669</v>
      </c>
      <c r="D57" s="64">
        <f>+SUMIF(Table13[Date_d],'Bill subs'!$A57,Table13[Bid Accepted])</f>
        <v>24000</v>
      </c>
      <c r="E57" s="7">
        <f t="shared" si="0"/>
        <v>0</v>
      </c>
      <c r="F57" s="77">
        <f t="shared" si="1"/>
        <v>1</v>
      </c>
      <c r="G57" s="64">
        <f t="array" ref="G57">+SUM(IF(Tbills!$A:$A='Bill subs'!A57,IF(Tbills!$C:$C=364,Tbills!$M:$M,""),""))</f>
        <v>0</v>
      </c>
      <c r="H57" s="64" t="e">
        <f t="array" ref="H57">+SUM(IF(Tbills!$A:$A='Bill subs'!A57,IF(Tbills!$C:$C=91,Tbills!$M:$M,""),""))</f>
        <v>#VALUE!</v>
      </c>
    </row>
    <row r="58" spans="1:8" x14ac:dyDescent="0.2">
      <c r="A58" s="46">
        <v>43509</v>
      </c>
      <c r="B58" s="64">
        <f>+SUMIF(Table13[Date_d],'Bill subs'!$A58,Table13[Amount Offered])</f>
        <v>21000</v>
      </c>
      <c r="C58" s="64">
        <f>+SUMIF(Table13[Date_d],'Bill subs'!$A58,Table13[Bid Received])</f>
        <v>53277</v>
      </c>
      <c r="D58" s="64">
        <f>+SUMIF(Table13[Date_d],'Bill subs'!$A58,Table13[Bid Accepted])</f>
        <v>21000</v>
      </c>
      <c r="E58" s="7">
        <f t="shared" si="0"/>
        <v>0</v>
      </c>
      <c r="F58" s="77">
        <f t="shared" si="1"/>
        <v>1</v>
      </c>
      <c r="G58" s="64">
        <f t="array" ref="G58">+SUM(IF(Tbills!$A:$A='Bill subs'!A58,IF(Tbills!$C:$C=364,Tbills!$M:$M,""),""))</f>
        <v>3.0000000000001137E-2</v>
      </c>
      <c r="H58" s="64" t="e">
        <f t="array" ref="H58">+SUM(IF(Tbills!$A:$A='Bill subs'!A58,IF(Tbills!$C:$C=91,Tbills!$M:$M,""),""))</f>
        <v>#VALUE!</v>
      </c>
    </row>
    <row r="59" spans="1:8" x14ac:dyDescent="0.2">
      <c r="A59" s="45">
        <v>43516</v>
      </c>
      <c r="B59" s="64">
        <f>+SUMIF(Table13[Date_d],'Bill subs'!$A59,Table13[Amount Offered])</f>
        <v>22500</v>
      </c>
      <c r="C59" s="64">
        <f>+SUMIF(Table13[Date_d],'Bill subs'!$A59,Table13[Bid Received])</f>
        <v>60201</v>
      </c>
      <c r="D59" s="64">
        <f>+SUMIF(Table13[Date_d],'Bill subs'!$A59,Table13[Bid Accepted])</f>
        <v>22500</v>
      </c>
      <c r="E59" s="7">
        <f t="shared" si="0"/>
        <v>0</v>
      </c>
      <c r="F59" s="77">
        <f t="shared" si="1"/>
        <v>1</v>
      </c>
      <c r="G59" s="64">
        <f t="array" ref="G59">+SUM(IF(Tbills!$A:$A='Bill subs'!A59,IF(Tbills!$C:$C=364,Tbills!$M:$M,""),""))</f>
        <v>9.9999999999997868E-3</v>
      </c>
      <c r="H59" s="64" t="e">
        <f t="array" ref="H59">+SUM(IF(Tbills!$A:$A='Bill subs'!A59,IF(Tbills!$C:$C=91,Tbills!$M:$M,""),""))</f>
        <v>#VALUE!</v>
      </c>
    </row>
    <row r="60" spans="1:8" x14ac:dyDescent="0.2">
      <c r="A60" s="46">
        <v>43523</v>
      </c>
      <c r="B60" s="64">
        <f>+SUMIF(Table13[Date_d],'Bill subs'!$A60,Table13[Amount Offered])</f>
        <v>24000</v>
      </c>
      <c r="C60" s="64">
        <f>+SUMIF(Table13[Date_d],'Bill subs'!$A60,Table13[Bid Received])</f>
        <v>63381</v>
      </c>
      <c r="D60" s="64">
        <f>+SUMIF(Table13[Date_d],'Bill subs'!$A60,Table13[Bid Accepted])</f>
        <v>24000</v>
      </c>
      <c r="E60" s="7">
        <f t="shared" si="0"/>
        <v>0</v>
      </c>
      <c r="F60" s="77">
        <f t="shared" si="1"/>
        <v>1</v>
      </c>
      <c r="G60" s="64">
        <f t="array" ref="G60">+SUM(IF(Tbills!$A:$A='Bill subs'!A60,IF(Tbills!$C:$C=364,Tbills!$M:$M,""),""))</f>
        <v>-6.0000000000000497E-2</v>
      </c>
      <c r="H60" s="64" t="e">
        <f t="array" ref="H60">+SUM(IF(Tbills!$A:$A='Bill subs'!A60,IF(Tbills!$C:$C=91,Tbills!$M:$M,""),""))</f>
        <v>#VALUE!</v>
      </c>
    </row>
    <row r="61" spans="1:8" x14ac:dyDescent="0.2">
      <c r="A61" s="45">
        <v>43530</v>
      </c>
      <c r="B61" s="64">
        <f>+SUMIF(Table13[Date_d],'Bill subs'!$A61,Table13[Amount Offered])</f>
        <v>24000</v>
      </c>
      <c r="C61" s="64">
        <f>+SUMIF(Table13[Date_d],'Bill subs'!$A61,Table13[Bid Received])</f>
        <v>74358</v>
      </c>
      <c r="D61" s="64">
        <f>+SUMIF(Table13[Date_d],'Bill subs'!$A61,Table13[Bid Accepted])</f>
        <v>24000</v>
      </c>
      <c r="E61" s="7">
        <f t="shared" si="0"/>
        <v>0</v>
      </c>
      <c r="F61" s="77">
        <f t="shared" si="1"/>
        <v>1</v>
      </c>
      <c r="G61" s="64">
        <f t="array" ref="G61">+SUM(IF(Tbills!$A:$A='Bill subs'!A61,IF(Tbills!$C:$C=364,Tbills!$M:$M,""),""))</f>
        <v>-2.9999999999999361E-2</v>
      </c>
      <c r="H61" s="64" t="e">
        <f t="array" ref="H61">+SUM(IF(Tbills!$A:$A='Bill subs'!A61,IF(Tbills!$C:$C=91,Tbills!$M:$M,""),""))</f>
        <v>#VALUE!</v>
      </c>
    </row>
    <row r="62" spans="1:8" x14ac:dyDescent="0.2">
      <c r="A62" s="46">
        <v>43537</v>
      </c>
      <c r="B62" s="64">
        <f>+SUMIF(Table13[Date_d],'Bill subs'!$A62,Table13[Amount Offered])</f>
        <v>24000</v>
      </c>
      <c r="C62" s="64">
        <f>+SUMIF(Table13[Date_d],'Bill subs'!$A62,Table13[Bid Received])</f>
        <v>62032</v>
      </c>
      <c r="D62" s="64">
        <f>+SUMIF(Table13[Date_d],'Bill subs'!$A62,Table13[Bid Accepted])</f>
        <v>24000</v>
      </c>
      <c r="E62" s="7">
        <f t="shared" si="0"/>
        <v>0</v>
      </c>
      <c r="F62" s="77">
        <f t="shared" si="1"/>
        <v>1</v>
      </c>
      <c r="G62" s="64">
        <f t="array" ref="G62">+SUM(IF(Tbills!$A:$A='Bill subs'!A62,IF(Tbills!$C:$C=364,Tbills!$M:$M,""),""))</f>
        <v>-6.0000000000000497E-2</v>
      </c>
      <c r="H62" s="64" t="e">
        <f t="array" ref="H62">+SUM(IF(Tbills!$A:$A='Bill subs'!A62,IF(Tbills!$C:$C=91,Tbills!$M:$M,""),""))</f>
        <v>#VALUE!</v>
      </c>
    </row>
    <row r="63" spans="1:8" x14ac:dyDescent="0.2">
      <c r="A63" s="45">
        <v>43543</v>
      </c>
      <c r="B63" s="64">
        <f>+SUMIF(Table13[Date_d],'Bill subs'!$A63,Table13[Amount Offered])</f>
        <v>24000</v>
      </c>
      <c r="C63" s="64">
        <f>+SUMIF(Table13[Date_d],'Bill subs'!$A63,Table13[Bid Received])</f>
        <v>66737</v>
      </c>
      <c r="D63" s="64">
        <f>+SUMIF(Table13[Date_d],'Bill subs'!$A63,Table13[Bid Accepted])</f>
        <v>24000</v>
      </c>
      <c r="E63" s="7">
        <f t="shared" si="0"/>
        <v>0</v>
      </c>
      <c r="F63" s="77">
        <f t="shared" si="1"/>
        <v>1</v>
      </c>
      <c r="G63" s="64">
        <f t="array" ref="G63">+SUM(IF(Tbills!$A:$A='Bill subs'!A63,IF(Tbills!$C:$C=364,Tbills!$M:$M,""),""))</f>
        <v>-6.0000000000000497E-2</v>
      </c>
      <c r="H63" s="64">
        <f t="array" ref="H63">+SUM(IF(Tbills!$A:$A='Bill subs'!A63,IF(Tbills!$C:$C=91,Tbills!$M:$M,""),""))</f>
        <v>-6.0000000000000497E-2</v>
      </c>
    </row>
    <row r="64" spans="1:8" x14ac:dyDescent="0.2">
      <c r="A64" s="46">
        <v>43551</v>
      </c>
      <c r="B64" s="64">
        <f>+SUMIF(Table13[Date_d],'Bill subs'!$A64,Table13[Amount Offered])</f>
        <v>25000</v>
      </c>
      <c r="C64" s="64">
        <f>+SUMIF(Table13[Date_d],'Bill subs'!$A64,Table13[Bid Received])</f>
        <v>86087</v>
      </c>
      <c r="D64" s="64">
        <f>+SUMIF(Table13[Date_d],'Bill subs'!$A64,Table13[Bid Accepted])</f>
        <v>25000</v>
      </c>
      <c r="E64" s="7">
        <f t="shared" si="0"/>
        <v>0</v>
      </c>
      <c r="F64" s="77">
        <f t="shared" si="1"/>
        <v>1</v>
      </c>
      <c r="G64" s="64">
        <f t="array" ref="G64">+SUM(IF(Tbills!$A:$A='Bill subs'!A64,IF(Tbills!$C:$C=364,Tbills!$M:$M,""),""))</f>
        <v>-0.11999999999999922</v>
      </c>
      <c r="H64" s="64">
        <f t="array" ref="H64">+SUM(IF(Tbills!$A:$A='Bill subs'!A64,IF(Tbills!$C:$C=91,Tbills!$M:$M,""),""))</f>
        <v>-9.9999999999999645E-2</v>
      </c>
    </row>
    <row r="65" spans="1:8" x14ac:dyDescent="0.2">
      <c r="A65" s="45">
        <v>43558</v>
      </c>
      <c r="B65" s="64">
        <f>+SUMIF(Table13[Date_d],'Bill subs'!$A65,Table13[Amount Offered])</f>
        <v>28000</v>
      </c>
      <c r="C65" s="64">
        <f>+SUMIF(Table13[Date_d],'Bill subs'!$A65,Table13[Bid Received])</f>
        <v>106307</v>
      </c>
      <c r="D65" s="64">
        <f>+SUMIF(Table13[Date_d],'Bill subs'!$A65,Table13[Bid Accepted])</f>
        <v>28000</v>
      </c>
      <c r="E65" s="7">
        <f t="shared" si="0"/>
        <v>0</v>
      </c>
      <c r="F65" s="77">
        <f t="shared" si="1"/>
        <v>1</v>
      </c>
      <c r="G65" s="64">
        <f t="array" ref="G65">+SUM(IF(Tbills!$A:$A='Bill subs'!A65,IF(Tbills!$C:$C=364,Tbills!$M:$M,""),""))</f>
        <v>-0.25</v>
      </c>
      <c r="H65" s="64">
        <f t="array" ref="H65">+SUM(IF(Tbills!$A:$A='Bill subs'!A65,IF(Tbills!$C:$C=91,Tbills!$M:$M,""),""))</f>
        <v>-0.15000000000000036</v>
      </c>
    </row>
    <row r="66" spans="1:8" x14ac:dyDescent="0.2">
      <c r="A66" s="46">
        <v>43565</v>
      </c>
      <c r="B66" s="64">
        <f>+SUMIF(Table13[Date_d],'Bill subs'!$A66,Table13[Amount Offered])</f>
        <v>25000</v>
      </c>
      <c r="C66" s="64">
        <f>+SUMIF(Table13[Date_d],'Bill subs'!$A66,Table13[Bid Received])</f>
        <v>78427</v>
      </c>
      <c r="D66" s="64">
        <f>+SUMIF(Table13[Date_d],'Bill subs'!$A66,Table13[Bid Accepted])</f>
        <v>25000</v>
      </c>
      <c r="E66" s="7">
        <f t="shared" ref="E66:E129" si="2">+D66-B66</f>
        <v>0</v>
      </c>
      <c r="F66" s="77">
        <f t="shared" ref="F66:F129" si="3">+D66/B66</f>
        <v>1</v>
      </c>
      <c r="G66" s="64">
        <f t="array" ref="G66">+SUM(IF(Tbills!$A:$A='Bill subs'!A66,IF(Tbills!$C:$C=364,Tbills!$M:$M,""),""))</f>
        <v>-0.16000000000000014</v>
      </c>
      <c r="H66" s="64">
        <f t="array" ref="H66">+SUM(IF(Tbills!$A:$A='Bill subs'!A66,IF(Tbills!$C:$C=91,Tbills!$M:$M,""),""))</f>
        <v>-0.15000000000000036</v>
      </c>
    </row>
    <row r="67" spans="1:8" x14ac:dyDescent="0.2">
      <c r="A67" s="45">
        <v>43571</v>
      </c>
      <c r="B67" s="64">
        <f>+SUMIF(Table13[Date_d],'Bill subs'!$A67,Table13[Amount Offered])</f>
        <v>24000</v>
      </c>
      <c r="C67" s="64">
        <f>+SUMIF(Table13[Date_d],'Bill subs'!$A67,Table13[Bid Received])</f>
        <v>75957</v>
      </c>
      <c r="D67" s="64">
        <f>+SUMIF(Table13[Date_d],'Bill subs'!$A67,Table13[Bid Accepted])</f>
        <v>24000</v>
      </c>
      <c r="E67" s="7">
        <f t="shared" si="2"/>
        <v>0</v>
      </c>
      <c r="F67" s="77">
        <f t="shared" si="3"/>
        <v>1</v>
      </c>
      <c r="G67" s="64">
        <f t="array" ref="G67">+SUM(IF(Tbills!$A:$A='Bill subs'!A67,IF(Tbills!$C:$C=364,Tbills!$M:$M,""),""))</f>
        <v>-8.0000000000000071E-2</v>
      </c>
      <c r="H67" s="64">
        <f t="array" ref="H67">+SUM(IF(Tbills!$A:$A='Bill subs'!A67,IF(Tbills!$C:$C=91,Tbills!$M:$M,""),""))</f>
        <v>-8.9999999999999858E-2</v>
      </c>
    </row>
    <row r="68" spans="1:8" x14ac:dyDescent="0.2">
      <c r="A68" s="46">
        <v>43579</v>
      </c>
      <c r="B68" s="64">
        <f>+SUMIF(Table13[Date_d],'Bill subs'!$A68,Table13[Amount Offered])</f>
        <v>25000</v>
      </c>
      <c r="C68" s="64">
        <f>+SUMIF(Table13[Date_d],'Bill subs'!$A68,Table13[Bid Received])</f>
        <v>64182</v>
      </c>
      <c r="D68" s="64">
        <f>+SUMIF(Table13[Date_d],'Bill subs'!$A68,Table13[Bid Accepted])</f>
        <v>25000</v>
      </c>
      <c r="E68" s="7">
        <f t="shared" si="2"/>
        <v>0</v>
      </c>
      <c r="F68" s="77">
        <f t="shared" si="3"/>
        <v>1</v>
      </c>
      <c r="G68" s="64">
        <f t="array" ref="G68">+SUM(IF(Tbills!$A:$A='Bill subs'!A68,IF(Tbills!$C:$C=364,Tbills!$M:$M,""),""))</f>
        <v>0</v>
      </c>
      <c r="H68" s="64">
        <f t="array" ref="H68">+SUM(IF(Tbills!$A:$A='Bill subs'!A68,IF(Tbills!$C:$C=91,Tbills!$M:$M,""),""))</f>
        <v>-6.0000000000000497E-2</v>
      </c>
    </row>
    <row r="69" spans="1:8" x14ac:dyDescent="0.2">
      <c r="A69" s="45">
        <v>43585</v>
      </c>
      <c r="B69" s="64">
        <f>+SUMIF(Table13[Date_d],'Bill subs'!$A69,Table13[Amount Offered])</f>
        <v>27000</v>
      </c>
      <c r="C69" s="64">
        <f>+SUMIF(Table13[Date_d],'Bill subs'!$A69,Table13[Bid Received])</f>
        <v>87374</v>
      </c>
      <c r="D69" s="64">
        <f>+SUMIF(Table13[Date_d],'Bill subs'!$A69,Table13[Bid Accepted])</f>
        <v>27000</v>
      </c>
      <c r="E69" s="7">
        <f t="shared" si="2"/>
        <v>0</v>
      </c>
      <c r="F69" s="77">
        <f t="shared" si="3"/>
        <v>1</v>
      </c>
      <c r="G69" s="64">
        <f t="array" ref="G69">+SUM(IF(Tbills!$A:$A='Bill subs'!A69,IF(Tbills!$C:$C=364,Tbills!$M:$M,""),""))</f>
        <v>-9.9999999999999645E-2</v>
      </c>
      <c r="H69" s="64">
        <f t="array" ref="H69">+SUM(IF(Tbills!$A:$A='Bill subs'!A69,IF(Tbills!$C:$C=91,Tbills!$M:$M,""),""))</f>
        <v>-4.9999999999998934E-2</v>
      </c>
    </row>
    <row r="70" spans="1:8" x14ac:dyDescent="0.2">
      <c r="A70" s="46">
        <v>43593</v>
      </c>
      <c r="B70" s="64">
        <f>+SUMIF(Table13[Date_d],'Bill subs'!$A70,Table13[Amount Offered])</f>
        <v>22000</v>
      </c>
      <c r="C70" s="64">
        <f>+SUMIF(Table13[Date_d],'Bill subs'!$A70,Table13[Bid Received])</f>
        <v>109093</v>
      </c>
      <c r="D70" s="64">
        <f>+SUMIF(Table13[Date_d],'Bill subs'!$A70,Table13[Bid Accepted])</f>
        <v>22000</v>
      </c>
      <c r="E70" s="7">
        <f t="shared" si="2"/>
        <v>0</v>
      </c>
      <c r="F70" s="77">
        <f t="shared" si="3"/>
        <v>1</v>
      </c>
      <c r="G70" s="64">
        <f t="array" ref="G70">+SUM(IF(Tbills!$A:$A='Bill subs'!A70,IF(Tbills!$C:$C=364,Tbills!$M:$M,""),""))</f>
        <v>-0.37000000000000099</v>
      </c>
      <c r="H70" s="64">
        <f t="array" ref="H70">+SUM(IF(Tbills!$A:$A='Bill subs'!A70,IF(Tbills!$C:$C=91,Tbills!$M:$M,""),""))</f>
        <v>-0.38000000000000078</v>
      </c>
    </row>
    <row r="71" spans="1:8" x14ac:dyDescent="0.2">
      <c r="A71" s="45">
        <v>43600</v>
      </c>
      <c r="B71" s="64">
        <f>+SUMIF(Table13[Date_d],'Bill subs'!$A71,Table13[Amount Offered])</f>
        <v>21000</v>
      </c>
      <c r="C71" s="64">
        <f>+SUMIF(Table13[Date_d],'Bill subs'!$A71,Table13[Bid Received])</f>
        <v>81525</v>
      </c>
      <c r="D71" s="64">
        <f>+SUMIF(Table13[Date_d],'Bill subs'!$A71,Table13[Bid Accepted])</f>
        <v>21000</v>
      </c>
      <c r="E71" s="7">
        <f t="shared" si="2"/>
        <v>0</v>
      </c>
      <c r="F71" s="77">
        <f t="shared" si="3"/>
        <v>1</v>
      </c>
      <c r="G71" s="64">
        <f t="array" ref="G71">+SUM(IF(Tbills!$A:$A='Bill subs'!A71,IF(Tbills!$C:$C=364,Tbills!$M:$M,""),""))</f>
        <v>-0.25999999999999979</v>
      </c>
      <c r="H71" s="64">
        <f t="array" ref="H71">+SUM(IF(Tbills!$A:$A='Bill subs'!A71,IF(Tbills!$C:$C=91,Tbills!$M:$M,""),""))</f>
        <v>9.9999999999997868E-3</v>
      </c>
    </row>
    <row r="72" spans="1:8" x14ac:dyDescent="0.2">
      <c r="A72" s="46">
        <v>43607</v>
      </c>
      <c r="B72" s="64">
        <f>+SUMIF(Table13[Date_d],'Bill subs'!$A72,Table13[Amount Offered])</f>
        <v>20000</v>
      </c>
      <c r="C72" s="64">
        <f>+SUMIF(Table13[Date_d],'Bill subs'!$A72,Table13[Bid Received])</f>
        <v>81087</v>
      </c>
      <c r="D72" s="64">
        <f>+SUMIF(Table13[Date_d],'Bill subs'!$A72,Table13[Bid Accepted])</f>
        <v>20000</v>
      </c>
      <c r="E72" s="7">
        <f t="shared" si="2"/>
        <v>0</v>
      </c>
      <c r="F72" s="77">
        <f t="shared" si="3"/>
        <v>1</v>
      </c>
      <c r="G72" s="64">
        <f t="array" ref="G72">+SUM(IF(Tbills!$A:$A='Bill subs'!A72,IF(Tbills!$C:$C=364,Tbills!$M:$M,""),""))</f>
        <v>-0.27999999999999936</v>
      </c>
      <c r="H72" s="64" t="e">
        <f t="array" ref="H72">+SUM(IF(Tbills!$A:$A='Bill subs'!A72,IF(Tbills!$C:$C=91,Tbills!$M:$M,""),""))</f>
        <v>#VALUE!</v>
      </c>
    </row>
    <row r="73" spans="1:8" x14ac:dyDescent="0.2">
      <c r="A73" s="45">
        <v>43614</v>
      </c>
      <c r="B73" s="64">
        <f>+SUMIF(Table13[Date_d],'Bill subs'!$A73,Table13[Amount Offered])</f>
        <v>20000</v>
      </c>
      <c r="C73" s="64">
        <f>+SUMIF(Table13[Date_d],'Bill subs'!$A73,Table13[Bid Received])</f>
        <v>49129</v>
      </c>
      <c r="D73" s="64">
        <f>+SUMIF(Table13[Date_d],'Bill subs'!$A73,Table13[Bid Accepted])</f>
        <v>20000</v>
      </c>
      <c r="E73" s="7">
        <f t="shared" si="2"/>
        <v>0</v>
      </c>
      <c r="F73" s="77">
        <f t="shared" si="3"/>
        <v>1</v>
      </c>
      <c r="G73" s="64">
        <f t="array" ref="G73">+SUM(IF(Tbills!$A:$A='Bill subs'!A73,IF(Tbills!$C:$C=364,Tbills!$M:$M,""),""))</f>
        <v>-1.9999999999999574E-2</v>
      </c>
      <c r="H73" s="64" t="e">
        <f t="array" ref="H73">+SUM(IF(Tbills!$A:$A='Bill subs'!A73,IF(Tbills!$C:$C=91,Tbills!$M:$M,""),""))</f>
        <v>#VALUE!</v>
      </c>
    </row>
    <row r="74" spans="1:8" x14ac:dyDescent="0.2">
      <c r="A74" s="46">
        <v>43620</v>
      </c>
      <c r="B74" s="64">
        <f>+SUMIF(Table13[Date_d],'Bill subs'!$A74,Table13[Amount Offered])</f>
        <v>20000</v>
      </c>
      <c r="C74" s="64">
        <f>+SUMIF(Table13[Date_d],'Bill subs'!$A74,Table13[Bid Received])</f>
        <v>49027</v>
      </c>
      <c r="D74" s="64">
        <f>+SUMIF(Table13[Date_d],'Bill subs'!$A74,Table13[Bid Accepted])</f>
        <v>20000</v>
      </c>
      <c r="E74" s="7">
        <f t="shared" si="2"/>
        <v>0</v>
      </c>
      <c r="F74" s="77">
        <f t="shared" si="3"/>
        <v>1</v>
      </c>
      <c r="G74" s="64">
        <f t="array" ref="G74">+SUM(IF(Tbills!$A:$A='Bill subs'!A74,IF(Tbills!$C:$C=364,Tbills!$M:$M,""),""))</f>
        <v>0</v>
      </c>
      <c r="H74" s="64" t="e">
        <f t="array" ref="H74">+SUM(IF(Tbills!$A:$A='Bill subs'!A74,IF(Tbills!$C:$C=91,Tbills!$M:$M,""),""))</f>
        <v>#VALUE!</v>
      </c>
    </row>
    <row r="75" spans="1:8" x14ac:dyDescent="0.2">
      <c r="A75" s="45">
        <v>43628</v>
      </c>
      <c r="B75" s="64">
        <f>+SUMIF(Table13[Date_d],'Bill subs'!$A75,Table13[Amount Offered])</f>
        <v>19000</v>
      </c>
      <c r="C75" s="64">
        <f>+SUMIF(Table13[Date_d],'Bill subs'!$A75,Table13[Bid Received])</f>
        <v>52716</v>
      </c>
      <c r="D75" s="64">
        <f>+SUMIF(Table13[Date_d],'Bill subs'!$A75,Table13[Bid Accepted])</f>
        <v>17734</v>
      </c>
      <c r="E75" s="7">
        <f t="shared" si="2"/>
        <v>-1266</v>
      </c>
      <c r="F75" s="77">
        <f t="shared" si="3"/>
        <v>0.93336842105263162</v>
      </c>
      <c r="G75" s="64" t="e">
        <f t="array" ref="G75">+SUM(IF(Tbills!$A:$A='Bill subs'!A75,IF(Tbills!$C:$C=364,Tbills!$M:$M,""),""))</f>
        <v>#VALUE!</v>
      </c>
      <c r="H75" s="64">
        <f t="array" ref="H75">+SUM(IF(Tbills!$A:$A='Bill subs'!A75,IF(Tbills!$C:$C=91,Tbills!$M:$M,""),""))</f>
        <v>0</v>
      </c>
    </row>
    <row r="76" spans="1:8" x14ac:dyDescent="0.2">
      <c r="A76" s="46">
        <v>43635</v>
      </c>
      <c r="B76" s="64">
        <f>+SUMIF(Table13[Date_d],'Bill subs'!$A76,Table13[Amount Offered])</f>
        <v>19000</v>
      </c>
      <c r="C76" s="64">
        <f>+SUMIF(Table13[Date_d],'Bill subs'!$A76,Table13[Bid Received])</f>
        <v>61270</v>
      </c>
      <c r="D76" s="64">
        <f>+SUMIF(Table13[Date_d],'Bill subs'!$A76,Table13[Bid Accepted])</f>
        <v>19000</v>
      </c>
      <c r="E76" s="7">
        <f t="shared" si="2"/>
        <v>0</v>
      </c>
      <c r="F76" s="77">
        <f t="shared" si="3"/>
        <v>1</v>
      </c>
      <c r="G76" s="64" t="e">
        <f t="array" ref="G76">+SUM(IF(Tbills!$A:$A='Bill subs'!A76,IF(Tbills!$C:$C=364,Tbills!$M:$M,""),""))</f>
        <v>#VALUE!</v>
      </c>
      <c r="H76" s="64">
        <f t="array" ref="H76">+SUM(IF(Tbills!$A:$A='Bill subs'!A76,IF(Tbills!$C:$C=91,Tbills!$M:$M,""),""))</f>
        <v>0</v>
      </c>
    </row>
    <row r="77" spans="1:8" x14ac:dyDescent="0.2">
      <c r="A77" s="45">
        <v>43642</v>
      </c>
      <c r="B77" s="64">
        <f>+SUMIF(Table13[Date_d],'Bill subs'!$A77,Table13[Amount Offered])</f>
        <v>16500</v>
      </c>
      <c r="C77" s="64">
        <f>+SUMIF(Table13[Date_d],'Bill subs'!$A77,Table13[Bid Received])</f>
        <v>80525</v>
      </c>
      <c r="D77" s="64">
        <f>+SUMIF(Table13[Date_d],'Bill subs'!$A77,Table13[Bid Accepted])</f>
        <v>16500</v>
      </c>
      <c r="E77" s="7">
        <f t="shared" si="2"/>
        <v>0</v>
      </c>
      <c r="F77" s="77">
        <f t="shared" si="3"/>
        <v>1</v>
      </c>
      <c r="G77" s="64">
        <f t="array" ref="G77">+SUM(IF(Tbills!$A:$A='Bill subs'!A77,IF(Tbills!$C:$C=364,Tbills!$M:$M,""),""))</f>
        <v>-0.16000000000000014</v>
      </c>
      <c r="H77" s="64">
        <f t="array" ref="H77">+SUM(IF(Tbills!$A:$A='Bill subs'!A77,IF(Tbills!$C:$C=91,Tbills!$M:$M,""),""))</f>
        <v>-0.14000000000000057</v>
      </c>
    </row>
    <row r="78" spans="1:8" x14ac:dyDescent="0.2">
      <c r="A78" s="46">
        <v>43649</v>
      </c>
      <c r="B78" s="64">
        <f>+SUMIF(Table13[Date_d],'Bill subs'!$A78,Table13[Amount Offered])</f>
        <v>23000</v>
      </c>
      <c r="C78" s="64">
        <f>+SUMIF(Table13[Date_d],'Bill subs'!$A78,Table13[Bid Received])</f>
        <v>62557</v>
      </c>
      <c r="D78" s="64">
        <f>+SUMIF(Table13[Date_d],'Bill subs'!$A78,Table13[Bid Accepted])</f>
        <v>23000</v>
      </c>
      <c r="E78" s="7">
        <f t="shared" si="2"/>
        <v>0</v>
      </c>
      <c r="F78" s="77">
        <f t="shared" si="3"/>
        <v>1</v>
      </c>
      <c r="G78" s="64">
        <f t="array" ref="G78">+SUM(IF(Tbills!$A:$A='Bill subs'!A78,IF(Tbills!$C:$C=364,Tbills!$M:$M,""),""))</f>
        <v>-0.10999999999999943</v>
      </c>
      <c r="H78" s="64">
        <f t="array" ref="H78">+SUM(IF(Tbills!$A:$A='Bill subs'!A78,IF(Tbills!$C:$C=91,Tbills!$M:$M,""),""))</f>
        <v>-7.0000000000000284E-2</v>
      </c>
    </row>
    <row r="79" spans="1:8" x14ac:dyDescent="0.2">
      <c r="A79" s="45">
        <v>43656</v>
      </c>
      <c r="B79" s="64">
        <f>+SUMIF(Table13[Date_d],'Bill subs'!$A79,Table13[Amount Offered])</f>
        <v>22500</v>
      </c>
      <c r="C79" s="64">
        <f>+SUMIF(Table13[Date_d],'Bill subs'!$A79,Table13[Bid Received])</f>
        <v>82875</v>
      </c>
      <c r="D79" s="64">
        <f>+SUMIF(Table13[Date_d],'Bill subs'!$A79,Table13[Bid Accepted])</f>
        <v>22500</v>
      </c>
      <c r="E79" s="7">
        <f t="shared" si="2"/>
        <v>0</v>
      </c>
      <c r="F79" s="77">
        <f t="shared" si="3"/>
        <v>1</v>
      </c>
      <c r="G79" s="64">
        <f t="array" ref="G79">+SUM(IF(Tbills!$A:$A='Bill subs'!A79,IF(Tbills!$C:$C=364,Tbills!$M:$M,""),""))</f>
        <v>-5.0000000000000711E-2</v>
      </c>
      <c r="H79" s="64">
        <f t="array" ref="H79">+SUM(IF(Tbills!$A:$A='Bill subs'!A79,IF(Tbills!$C:$C=91,Tbills!$M:$M,""),""))</f>
        <v>-8.0000000000000071E-2</v>
      </c>
    </row>
    <row r="80" spans="1:8" x14ac:dyDescent="0.2">
      <c r="A80" s="46">
        <v>43663</v>
      </c>
      <c r="B80" s="64">
        <f>+SUMIF(Table13[Date_d],'Bill subs'!$A80,Table13[Amount Offered])</f>
        <v>23500</v>
      </c>
      <c r="C80" s="64">
        <f>+SUMIF(Table13[Date_d],'Bill subs'!$A80,Table13[Bid Received])</f>
        <v>72195</v>
      </c>
      <c r="D80" s="64">
        <f>+SUMIF(Table13[Date_d],'Bill subs'!$A80,Table13[Bid Accepted])</f>
        <v>23500</v>
      </c>
      <c r="E80" s="7">
        <f t="shared" si="2"/>
        <v>0</v>
      </c>
      <c r="F80" s="77">
        <f t="shared" si="3"/>
        <v>1</v>
      </c>
      <c r="G80" s="64">
        <f t="array" ref="G80">+SUM(IF(Tbills!$A:$A='Bill subs'!A80,IF(Tbills!$C:$C=364,Tbills!$M:$M,""),""))</f>
        <v>-7.9999999999998295E-2</v>
      </c>
      <c r="H80" s="64">
        <f t="array" ref="H80">+SUM(IF(Tbills!$A:$A='Bill subs'!A80,IF(Tbills!$C:$C=91,Tbills!$M:$M,""),""))</f>
        <v>-9.9999999999999645E-2</v>
      </c>
    </row>
    <row r="81" spans="1:8" x14ac:dyDescent="0.2">
      <c r="A81" s="45">
        <v>43670</v>
      </c>
      <c r="B81" s="64">
        <f>+SUMIF(Table13[Date_d],'Bill subs'!$A81,Table13[Amount Offered])</f>
        <v>25000</v>
      </c>
      <c r="C81" s="64">
        <f>+SUMIF(Table13[Date_d],'Bill subs'!$A81,Table13[Bid Received])</f>
        <v>78135</v>
      </c>
      <c r="D81" s="64">
        <f>+SUMIF(Table13[Date_d],'Bill subs'!$A81,Table13[Bid Accepted])</f>
        <v>25000</v>
      </c>
      <c r="E81" s="7">
        <f t="shared" si="2"/>
        <v>0</v>
      </c>
      <c r="F81" s="77">
        <f t="shared" si="3"/>
        <v>1</v>
      </c>
      <c r="G81" s="64">
        <f t="array" ref="G81">+SUM(IF(Tbills!$A:$A='Bill subs'!A81,IF(Tbills!$C:$C=364,Tbills!$M:$M,""),""))</f>
        <v>-8.0000000000000071E-2</v>
      </c>
      <c r="H81" s="64">
        <f t="array" ref="H81">+SUM(IF(Tbills!$A:$A='Bill subs'!A81,IF(Tbills!$C:$C=91,Tbills!$M:$M,""),""))</f>
        <v>-0.10000000000000053</v>
      </c>
    </row>
    <row r="82" spans="1:8" x14ac:dyDescent="0.2">
      <c r="A82" s="46">
        <v>43677</v>
      </c>
      <c r="B82" s="64">
        <f>+SUMIF(Table13[Date_d],'Bill subs'!$A82,Table13[Amount Offered])</f>
        <v>22000</v>
      </c>
      <c r="C82" s="64">
        <f>+SUMIF(Table13[Date_d],'Bill subs'!$A82,Table13[Bid Received])</f>
        <v>60228</v>
      </c>
      <c r="D82" s="64">
        <f>+SUMIF(Table13[Date_d],'Bill subs'!$A82,Table13[Bid Accepted])</f>
        <v>22000</v>
      </c>
      <c r="E82" s="7">
        <f t="shared" si="2"/>
        <v>0</v>
      </c>
      <c r="F82" s="77">
        <f t="shared" si="3"/>
        <v>1</v>
      </c>
      <c r="G82" s="64">
        <f t="array" ref="G82">+SUM(IF(Tbills!$A:$A='Bill subs'!A82,IF(Tbills!$C:$C=364,Tbills!$M:$M,""),""))</f>
        <v>-0.16999999999999993</v>
      </c>
      <c r="H82" s="64">
        <f t="array" ref="H82">+SUM(IF(Tbills!$A:$A='Bill subs'!A82,IF(Tbills!$C:$C=91,Tbills!$M:$M,""),""))</f>
        <v>-4.0000000000000036E-2</v>
      </c>
    </row>
    <row r="83" spans="1:8" x14ac:dyDescent="0.2">
      <c r="A83" s="45">
        <v>43684</v>
      </c>
      <c r="B83" s="64">
        <f>+SUMIF(Table13[Date_d],'Bill subs'!$A83,Table13[Amount Offered])</f>
        <v>18500</v>
      </c>
      <c r="C83" s="64">
        <f>+SUMIF(Table13[Date_d],'Bill subs'!$A83,Table13[Bid Received])</f>
        <v>40097</v>
      </c>
      <c r="D83" s="64">
        <f>+SUMIF(Table13[Date_d],'Bill subs'!$A83,Table13[Bid Accepted])</f>
        <v>18500</v>
      </c>
      <c r="E83" s="7">
        <f t="shared" si="2"/>
        <v>0</v>
      </c>
      <c r="F83" s="77">
        <f t="shared" si="3"/>
        <v>1</v>
      </c>
      <c r="G83" s="64">
        <f t="array" ref="G83">+SUM(IF(Tbills!$A:$A='Bill subs'!A83,IF(Tbills!$C:$C=364,Tbills!$M:$M,""),""))</f>
        <v>-0.10000000000000142</v>
      </c>
      <c r="H83" s="64">
        <f t="array" ref="H83">+SUM(IF(Tbills!$A:$A='Bill subs'!A83,IF(Tbills!$C:$C=91,Tbills!$M:$M,""),""))</f>
        <v>-9.9999999999999645E-2</v>
      </c>
    </row>
    <row r="84" spans="1:8" x14ac:dyDescent="0.2">
      <c r="A84" s="46">
        <v>43690</v>
      </c>
      <c r="B84" s="64">
        <f>+SUMIF(Table13[Date_d],'Bill subs'!$A84,Table13[Amount Offered])</f>
        <v>22000</v>
      </c>
      <c r="C84" s="64">
        <f>+SUMIF(Table13[Date_d],'Bill subs'!$A84,Table13[Bid Received])</f>
        <v>32335</v>
      </c>
      <c r="D84" s="64">
        <f>+SUMIF(Table13[Date_d],'Bill subs'!$A84,Table13[Bid Accepted])</f>
        <v>18687</v>
      </c>
      <c r="E84" s="7">
        <f t="shared" si="2"/>
        <v>-3313</v>
      </c>
      <c r="F84" s="77">
        <f t="shared" si="3"/>
        <v>0.84940909090909089</v>
      </c>
      <c r="G84" s="64">
        <f t="array" ref="G84">+SUM(IF(Tbills!$A:$A='Bill subs'!A84,IF(Tbills!$C:$C=364,Tbills!$M:$M,""),""))</f>
        <v>6.0000000000000497E-2</v>
      </c>
      <c r="H84" s="64">
        <f t="array" ref="H84">+SUM(IF(Tbills!$A:$A='Bill subs'!A84,IF(Tbills!$C:$C=91,Tbills!$M:$M,""),""))</f>
        <v>4.9999999999999822E-2</v>
      </c>
    </row>
    <row r="85" spans="1:8" x14ac:dyDescent="0.2">
      <c r="A85" s="45">
        <v>43698</v>
      </c>
      <c r="B85" s="64">
        <f>+SUMIF(Table13[Date_d],'Bill subs'!$A85,Table13[Amount Offered])</f>
        <v>18000</v>
      </c>
      <c r="C85" s="64">
        <f>+SUMIF(Table13[Date_d],'Bill subs'!$A85,Table13[Bid Received])</f>
        <v>34153</v>
      </c>
      <c r="D85" s="64">
        <f>+SUMIF(Table13[Date_d],'Bill subs'!$A85,Table13[Bid Accepted])</f>
        <v>18000</v>
      </c>
      <c r="E85" s="7">
        <f t="shared" si="2"/>
        <v>0</v>
      </c>
      <c r="F85" s="77">
        <f t="shared" si="3"/>
        <v>1</v>
      </c>
      <c r="G85" s="64">
        <f t="array" ref="G85">+SUM(IF(Tbills!$A:$A='Bill subs'!A85,IF(Tbills!$C:$C=364,Tbills!$M:$M,""),""))</f>
        <v>0.14000000000000057</v>
      </c>
      <c r="H85" s="64">
        <f t="array" ref="H85">+SUM(IF(Tbills!$A:$A='Bill subs'!A85,IF(Tbills!$C:$C=91,Tbills!$M:$M,""),""))</f>
        <v>4.0000000000000036E-2</v>
      </c>
    </row>
    <row r="86" spans="1:8" x14ac:dyDescent="0.2">
      <c r="A86" s="46">
        <v>43705</v>
      </c>
      <c r="B86" s="64">
        <f>+SUMIF(Table13[Date_d],'Bill subs'!$A86,Table13[Amount Offered])</f>
        <v>12500</v>
      </c>
      <c r="C86" s="64">
        <f>+SUMIF(Table13[Date_d],'Bill subs'!$A86,Table13[Bid Received])</f>
        <v>36988</v>
      </c>
      <c r="D86" s="64">
        <f>+SUMIF(Table13[Date_d],'Bill subs'!$A86,Table13[Bid Accepted])</f>
        <v>12500</v>
      </c>
      <c r="E86" s="7">
        <f t="shared" si="2"/>
        <v>0</v>
      </c>
      <c r="F86" s="77">
        <f t="shared" si="3"/>
        <v>1</v>
      </c>
      <c r="G86" s="64">
        <f t="array" ref="G86">+SUM(IF(Tbills!$A:$A='Bill subs'!A86,IF(Tbills!$C:$C=364,Tbills!$M:$M,""),""))</f>
        <v>-8.9999999999999858E-2</v>
      </c>
      <c r="H86" s="64">
        <f t="array" ref="H86">+SUM(IF(Tbills!$A:$A='Bill subs'!A86,IF(Tbills!$C:$C=91,Tbills!$M:$M,""),""))</f>
        <v>-0.20999999999999996</v>
      </c>
    </row>
    <row r="87" spans="1:8" x14ac:dyDescent="0.2">
      <c r="A87" s="45">
        <v>43712</v>
      </c>
      <c r="B87" s="64">
        <f>+SUMIF(Table13[Date_d],'Bill subs'!$A87,Table13[Amount Offered])</f>
        <v>15000</v>
      </c>
      <c r="C87" s="64">
        <f>+SUMIF(Table13[Date_d],'Bill subs'!$A87,Table13[Bid Received])</f>
        <v>32108</v>
      </c>
      <c r="D87" s="64">
        <f>+SUMIF(Table13[Date_d],'Bill subs'!$A87,Table13[Bid Accepted])</f>
        <v>15000</v>
      </c>
      <c r="E87" s="7">
        <f t="shared" si="2"/>
        <v>0</v>
      </c>
      <c r="F87" s="77">
        <f t="shared" si="3"/>
        <v>1</v>
      </c>
      <c r="G87" s="64">
        <f t="array" ref="G87">+SUM(IF(Tbills!$A:$A='Bill subs'!A87,IF(Tbills!$C:$C=364,Tbills!$M:$M,""),""))</f>
        <v>0.10999999999999943</v>
      </c>
      <c r="H87" s="64">
        <f t="array" ref="H87">+SUM(IF(Tbills!$A:$A='Bill subs'!A87,IF(Tbills!$C:$C=91,Tbills!$M:$M,""),""))</f>
        <v>0</v>
      </c>
    </row>
    <row r="88" spans="1:8" x14ac:dyDescent="0.2">
      <c r="A88" s="46">
        <v>43718</v>
      </c>
      <c r="B88" s="64">
        <f>+SUMIF(Table13[Date_d],'Bill subs'!$A88,Table13[Amount Offered])</f>
        <v>22000</v>
      </c>
      <c r="C88" s="64">
        <f>+SUMIF(Table13[Date_d],'Bill subs'!$A88,Table13[Bid Received])</f>
        <v>49059</v>
      </c>
      <c r="D88" s="64">
        <f>+SUMIF(Table13[Date_d],'Bill subs'!$A88,Table13[Bid Accepted])</f>
        <v>22000</v>
      </c>
      <c r="E88" s="7">
        <f t="shared" si="2"/>
        <v>0</v>
      </c>
      <c r="F88" s="77">
        <f t="shared" si="3"/>
        <v>1</v>
      </c>
      <c r="G88" s="64">
        <f t="array" ref="G88">+SUM(IF(Tbills!$A:$A='Bill subs'!A88,IF(Tbills!$C:$C=364,Tbills!$M:$M,""),""))</f>
        <v>2.9999999999999361E-2</v>
      </c>
      <c r="H88" s="64">
        <f t="array" ref="H88">+SUM(IF(Tbills!$A:$A='Bill subs'!A88,IF(Tbills!$C:$C=91,Tbills!$M:$M,""),""))</f>
        <v>0</v>
      </c>
    </row>
    <row r="89" spans="1:8" x14ac:dyDescent="0.2">
      <c r="A89" s="45">
        <v>43726</v>
      </c>
      <c r="B89" s="64">
        <f>+SUMIF(Table13[Date_d],'Bill subs'!$A89,Table13[Amount Offered])</f>
        <v>8500</v>
      </c>
      <c r="C89" s="64">
        <f>+SUMIF(Table13[Date_d],'Bill subs'!$A89,Table13[Bid Received])</f>
        <v>28662</v>
      </c>
      <c r="D89" s="64">
        <f>+SUMIF(Table13[Date_d],'Bill subs'!$A89,Table13[Bid Accepted])</f>
        <v>8500</v>
      </c>
      <c r="E89" s="7">
        <f t="shared" si="2"/>
        <v>0</v>
      </c>
      <c r="F89" s="77">
        <f t="shared" si="3"/>
        <v>1</v>
      </c>
      <c r="G89" s="64">
        <f t="array" ref="G89">+SUM(IF(Tbills!$A:$A='Bill subs'!A89,IF(Tbills!$C:$C=364,Tbills!$M:$M,""),""))</f>
        <v>5.0000000000000711E-2</v>
      </c>
      <c r="H89" s="64">
        <f t="array" ref="H89">+SUM(IF(Tbills!$A:$A='Bill subs'!A89,IF(Tbills!$C:$C=91,Tbills!$M:$M,""),""))</f>
        <v>0</v>
      </c>
    </row>
    <row r="90" spans="1:8" x14ac:dyDescent="0.2">
      <c r="A90" s="46">
        <v>43733</v>
      </c>
      <c r="B90" s="64">
        <f>+SUMIF(Table13[Date_d],'Bill subs'!$A90,Table13[Amount Offered])</f>
        <v>20000</v>
      </c>
      <c r="C90" s="64">
        <f>+SUMIF(Table13[Date_d],'Bill subs'!$A90,Table13[Bid Received])</f>
        <v>49649</v>
      </c>
      <c r="D90" s="64">
        <f>+SUMIF(Table13[Date_d],'Bill subs'!$A90,Table13[Bid Accepted])</f>
        <v>20000</v>
      </c>
      <c r="E90" s="7">
        <f t="shared" si="2"/>
        <v>0</v>
      </c>
      <c r="F90" s="77">
        <f t="shared" si="3"/>
        <v>1</v>
      </c>
      <c r="G90" s="64">
        <f t="array" ref="G90">+SUM(IF(Tbills!$A:$A='Bill subs'!A90,IF(Tbills!$C:$C=364,Tbills!$M:$M,""),""))</f>
        <v>0</v>
      </c>
      <c r="H90" s="64">
        <f t="array" ref="H90">+SUM(IF(Tbills!$A:$A='Bill subs'!A90,IF(Tbills!$C:$C=91,Tbills!$M:$M,""),""))</f>
        <v>0</v>
      </c>
    </row>
    <row r="91" spans="1:8" x14ac:dyDescent="0.2">
      <c r="A91" s="45">
        <v>43740</v>
      </c>
      <c r="B91" s="64">
        <f>+SUMIF(Table13[Date_d],'Bill subs'!$A91,Table13[Amount Offered])</f>
        <v>12000</v>
      </c>
      <c r="C91" s="64">
        <f>+SUMIF(Table13[Date_d],'Bill subs'!$A91,Table13[Bid Received])</f>
        <v>38918</v>
      </c>
      <c r="D91" s="64">
        <f>+SUMIF(Table13[Date_d],'Bill subs'!$A91,Table13[Bid Accepted])</f>
        <v>12000</v>
      </c>
      <c r="E91" s="7">
        <f t="shared" si="2"/>
        <v>0</v>
      </c>
      <c r="F91" s="77">
        <f t="shared" si="3"/>
        <v>1</v>
      </c>
      <c r="G91" s="64">
        <f t="array" ref="G91">+SUM(IF(Tbills!$A:$A='Bill subs'!A91,IF(Tbills!$C:$C=364,Tbills!$M:$M,""),""))</f>
        <v>0</v>
      </c>
      <c r="H91" s="64">
        <f t="array" ref="H91">+SUM(IF(Tbills!$A:$A='Bill subs'!A91,IF(Tbills!$C:$C=91,Tbills!$M:$M,""),""))</f>
        <v>-2.0000000000000462E-2</v>
      </c>
    </row>
    <row r="92" spans="1:8" x14ac:dyDescent="0.2">
      <c r="A92" s="46">
        <v>43747</v>
      </c>
      <c r="B92" s="64">
        <f>+SUMIF(Table13[Date_d],'Bill subs'!$A92,Table13[Amount Offered])</f>
        <v>21500</v>
      </c>
      <c r="C92" s="64">
        <f>+SUMIF(Table13[Date_d],'Bill subs'!$A92,Table13[Bid Received])</f>
        <v>49967</v>
      </c>
      <c r="D92" s="64">
        <f>+SUMIF(Table13[Date_d],'Bill subs'!$A92,Table13[Bid Accepted])</f>
        <v>21500</v>
      </c>
      <c r="E92" s="7">
        <f t="shared" si="2"/>
        <v>0</v>
      </c>
      <c r="F92" s="77">
        <f t="shared" si="3"/>
        <v>1</v>
      </c>
      <c r="G92" s="64">
        <f t="array" ref="G92">+SUM(IF(Tbills!$A:$A='Bill subs'!A92,IF(Tbills!$C:$C=364,Tbills!$M:$M,""),""))</f>
        <v>0</v>
      </c>
      <c r="H92" s="64">
        <f t="array" ref="H92">+SUM(IF(Tbills!$A:$A='Bill subs'!A92,IF(Tbills!$C:$C=91,Tbills!$M:$M,""),""))</f>
        <v>-1.9999999999999574E-2</v>
      </c>
    </row>
    <row r="93" spans="1:8" x14ac:dyDescent="0.2">
      <c r="A93" s="45">
        <v>43754</v>
      </c>
      <c r="B93" s="64">
        <f>+SUMIF(Table13[Date_d],'Bill subs'!$A93,Table13[Amount Offered])</f>
        <v>22000</v>
      </c>
      <c r="C93" s="64">
        <f>+SUMIF(Table13[Date_d],'Bill subs'!$A93,Table13[Bid Received])</f>
        <v>56910</v>
      </c>
      <c r="D93" s="64">
        <f>+SUMIF(Table13[Date_d],'Bill subs'!$A93,Table13[Bid Accepted])</f>
        <v>22000</v>
      </c>
      <c r="E93" s="7">
        <f t="shared" si="2"/>
        <v>0</v>
      </c>
      <c r="F93" s="77">
        <f t="shared" si="3"/>
        <v>1</v>
      </c>
      <c r="G93" s="64">
        <f t="array" ref="G93">+SUM(IF(Tbills!$A:$A='Bill subs'!A93,IF(Tbills!$C:$C=364,Tbills!$M:$M,""),""))</f>
        <v>-6.0000000000000497E-2</v>
      </c>
      <c r="H93" s="64">
        <f t="array" ref="H93">+SUM(IF(Tbills!$A:$A='Bill subs'!A93,IF(Tbills!$C:$C=91,Tbills!$M:$M,""),""))</f>
        <v>-2.0000000000000462E-2</v>
      </c>
    </row>
    <row r="94" spans="1:8" x14ac:dyDescent="0.2">
      <c r="A94" s="46">
        <v>43761</v>
      </c>
      <c r="B94" s="64">
        <f>+SUMIF(Table13[Date_d],'Bill subs'!$A94,Table13[Amount Offered])</f>
        <v>22000</v>
      </c>
      <c r="C94" s="64">
        <f>+SUMIF(Table13[Date_d],'Bill subs'!$A94,Table13[Bid Received])</f>
        <v>48812</v>
      </c>
      <c r="D94" s="64">
        <f>+SUMIF(Table13[Date_d],'Bill subs'!$A94,Table13[Bid Accepted])</f>
        <v>22000</v>
      </c>
      <c r="E94" s="7">
        <f t="shared" si="2"/>
        <v>0</v>
      </c>
      <c r="F94" s="77">
        <f t="shared" si="3"/>
        <v>1</v>
      </c>
      <c r="G94" s="64">
        <f t="array" ref="G94">+SUM(IF(Tbills!$A:$A='Bill subs'!A94,IF(Tbills!$C:$C=364,Tbills!$M:$M,""),""))</f>
        <v>0.78000000000000025</v>
      </c>
      <c r="H94" s="64">
        <f t="array" ref="H94">+SUM(IF(Tbills!$A:$A='Bill subs'!A94,IF(Tbills!$C:$C=91,Tbills!$M:$M,""),""))</f>
        <v>-0.84999999999999964</v>
      </c>
    </row>
    <row r="95" spans="1:8" x14ac:dyDescent="0.2">
      <c r="A95" s="45">
        <v>43768</v>
      </c>
      <c r="B95" s="64">
        <f>+SUMIF(Table13[Date_d],'Bill subs'!$A95,Table13[Amount Offered])</f>
        <v>16000</v>
      </c>
      <c r="C95" s="64">
        <f>+SUMIF(Table13[Date_d],'Bill subs'!$A95,Table13[Bid Received])</f>
        <v>34035</v>
      </c>
      <c r="D95" s="64">
        <f>+SUMIF(Table13[Date_d],'Bill subs'!$A95,Table13[Bid Accepted])</f>
        <v>16000</v>
      </c>
      <c r="E95" s="7">
        <f t="shared" si="2"/>
        <v>0</v>
      </c>
      <c r="F95" s="77">
        <f t="shared" si="3"/>
        <v>1</v>
      </c>
      <c r="G95" s="64">
        <f t="array" ref="G95">+SUM(IF(Tbills!$A:$A='Bill subs'!A95,IF(Tbills!$C:$C=364,Tbills!$M:$M,""),""))</f>
        <v>9.9999999999997868E-3</v>
      </c>
      <c r="H95" s="64">
        <f t="array" ref="H95">+SUM(IF(Tbills!$A:$A='Bill subs'!A95,IF(Tbills!$C:$C=91,Tbills!$M:$M,""),""))</f>
        <v>-9.9999999999997868E-3</v>
      </c>
    </row>
    <row r="96" spans="1:8" x14ac:dyDescent="0.2">
      <c r="A96" s="46">
        <v>43775</v>
      </c>
      <c r="B96" s="64">
        <f>+SUMIF(Table13[Date_d],'Bill subs'!$A96,Table13[Amount Offered])</f>
        <v>20000</v>
      </c>
      <c r="C96" s="64">
        <f>+SUMIF(Table13[Date_d],'Bill subs'!$A96,Table13[Bid Received])</f>
        <v>37122</v>
      </c>
      <c r="D96" s="64">
        <f>+SUMIF(Table13[Date_d],'Bill subs'!$A96,Table13[Bid Accepted])</f>
        <v>20000</v>
      </c>
      <c r="E96" s="7">
        <f t="shared" si="2"/>
        <v>0</v>
      </c>
      <c r="F96" s="77">
        <f t="shared" si="3"/>
        <v>1</v>
      </c>
      <c r="G96" s="64">
        <f t="array" ref="G96">+SUM(IF(Tbills!$A:$A='Bill subs'!A96,IF(Tbills!$C:$C=364,Tbills!$M:$M,""),""))</f>
        <v>6.0000000000000497E-2</v>
      </c>
      <c r="H96" s="64">
        <f t="array" ref="H96">+SUM(IF(Tbills!$A:$A='Bill subs'!A96,IF(Tbills!$C:$C=91,Tbills!$M:$M,""),""))</f>
        <v>0</v>
      </c>
    </row>
    <row r="97" spans="1:8" x14ac:dyDescent="0.2">
      <c r="A97" s="45">
        <v>43782</v>
      </c>
      <c r="B97" s="64">
        <f>+SUMIF(Table13[Date_d],'Bill subs'!$A97,Table13[Amount Offered])</f>
        <v>20000</v>
      </c>
      <c r="C97" s="64">
        <f>+SUMIF(Table13[Date_d],'Bill subs'!$A97,Table13[Bid Received])</f>
        <v>32048</v>
      </c>
      <c r="D97" s="64">
        <f>+SUMIF(Table13[Date_d],'Bill subs'!$A97,Table13[Bid Accepted])</f>
        <v>18244</v>
      </c>
      <c r="E97" s="7">
        <f t="shared" si="2"/>
        <v>-1756</v>
      </c>
      <c r="F97" s="77">
        <f t="shared" si="3"/>
        <v>0.91220000000000001</v>
      </c>
      <c r="G97" s="64">
        <f t="array" ref="G97">+SUM(IF(Tbills!$A:$A='Bill subs'!A97,IF(Tbills!$C:$C=364,Tbills!$M:$M,""),""))</f>
        <v>9.9999999999999645E-2</v>
      </c>
      <c r="H97" s="64">
        <f t="array" ref="H97">+SUM(IF(Tbills!$A:$A='Bill subs'!A97,IF(Tbills!$C:$C=91,Tbills!$M:$M,""),""))</f>
        <v>6.9999999999999396E-2</v>
      </c>
    </row>
    <row r="98" spans="1:8" x14ac:dyDescent="0.2">
      <c r="A98" s="46">
        <v>43789</v>
      </c>
      <c r="B98" s="64">
        <f>+SUMIF(Table13[Date_d],'Bill subs'!$A98,Table13[Amount Offered])</f>
        <v>19000</v>
      </c>
      <c r="C98" s="64">
        <f>+SUMIF(Table13[Date_d],'Bill subs'!$A98,Table13[Bid Received])</f>
        <v>78135</v>
      </c>
      <c r="D98" s="64">
        <f>+SUMIF(Table13[Date_d],'Bill subs'!$A98,Table13[Bid Accepted])</f>
        <v>19000</v>
      </c>
      <c r="E98" s="7">
        <f t="shared" si="2"/>
        <v>0</v>
      </c>
      <c r="F98" s="77">
        <f t="shared" si="3"/>
        <v>1</v>
      </c>
      <c r="G98" s="64">
        <f t="array" ref="G98">+SUM(IF(Tbills!$A:$A='Bill subs'!A98,IF(Tbills!$C:$C=364,Tbills!$M:$M,""),""))</f>
        <v>-0.28999999999999915</v>
      </c>
      <c r="H98" s="64">
        <f t="array" ref="H98">+SUM(IF(Tbills!$A:$A='Bill subs'!A98,IF(Tbills!$C:$C=91,Tbills!$M:$M,""),""))</f>
        <v>-8.9999999999999858E-2</v>
      </c>
    </row>
    <row r="99" spans="1:8" x14ac:dyDescent="0.2">
      <c r="A99" s="45">
        <v>43796</v>
      </c>
      <c r="B99" s="64">
        <f>+SUMIF(Table13[Date_d],'Bill subs'!$A99,Table13[Amount Offered])</f>
        <v>28000</v>
      </c>
      <c r="C99" s="64">
        <f>+SUMIF(Table13[Date_d],'Bill subs'!$A99,Table13[Bid Received])</f>
        <v>61767</v>
      </c>
      <c r="D99" s="64">
        <f>+SUMIF(Table13[Date_d],'Bill subs'!$A99,Table13[Bid Accepted])</f>
        <v>28000</v>
      </c>
      <c r="E99" s="7">
        <f t="shared" si="2"/>
        <v>0</v>
      </c>
      <c r="F99" s="77">
        <f t="shared" si="3"/>
        <v>1</v>
      </c>
      <c r="G99" s="64">
        <f t="array" ref="G99">+SUM(IF(Tbills!$A:$A='Bill subs'!A99,IF(Tbills!$C:$C=364,Tbills!$M:$M,""),""))</f>
        <v>0.8199999999999994</v>
      </c>
      <c r="H99" s="64">
        <f t="array" ref="H99">+SUM(IF(Tbills!$A:$A='Bill subs'!A99,IF(Tbills!$C:$C=91,Tbills!$M:$M,""),""))</f>
        <v>-0.77000000000000046</v>
      </c>
    </row>
    <row r="100" spans="1:8" x14ac:dyDescent="0.2">
      <c r="A100" s="46">
        <v>43803</v>
      </c>
      <c r="B100" s="64">
        <f>+SUMIF(Table13[Date_d],'Bill subs'!$A100,Table13[Amount Offered])</f>
        <v>23500</v>
      </c>
      <c r="C100" s="64">
        <f>+SUMIF(Table13[Date_d],'Bill subs'!$A100,Table13[Bid Received])</f>
        <v>55110</v>
      </c>
      <c r="D100" s="64">
        <f>+SUMIF(Table13[Date_d],'Bill subs'!$A100,Table13[Bid Accepted])</f>
        <v>23500</v>
      </c>
      <c r="E100" s="7">
        <f t="shared" si="2"/>
        <v>0</v>
      </c>
      <c r="F100" s="77">
        <f t="shared" si="3"/>
        <v>1</v>
      </c>
      <c r="G100" s="64">
        <f t="array" ref="G100">+SUM(IF(Tbills!$A:$A='Bill subs'!A100,IF(Tbills!$C:$C=364,Tbills!$M:$M,""),""))</f>
        <v>-6.9999999999998508E-2</v>
      </c>
      <c r="H100" s="64">
        <f t="array" ref="H100">+SUM(IF(Tbills!$A:$A='Bill subs'!A100,IF(Tbills!$C:$C=91,Tbills!$M:$M,""),""))</f>
        <v>0</v>
      </c>
    </row>
    <row r="101" spans="1:8" x14ac:dyDescent="0.2">
      <c r="A101" s="45">
        <v>43809</v>
      </c>
      <c r="B101" s="64">
        <f>+SUMIF(Table13[Date_d],'Bill subs'!$A101,Table13[Amount Offered])</f>
        <v>27000</v>
      </c>
      <c r="C101" s="64">
        <f>+SUMIF(Table13[Date_d],'Bill subs'!$A101,Table13[Bid Received])</f>
        <v>51996</v>
      </c>
      <c r="D101" s="64">
        <f>+SUMIF(Table13[Date_d],'Bill subs'!$A101,Table13[Bid Accepted])</f>
        <v>27000</v>
      </c>
      <c r="E101" s="7">
        <f t="shared" si="2"/>
        <v>0</v>
      </c>
      <c r="F101" s="77">
        <f t="shared" si="3"/>
        <v>1</v>
      </c>
      <c r="G101" s="64">
        <f t="array" ref="G101">+SUM(IF(Tbills!$A:$A='Bill subs'!A101,IF(Tbills!$C:$C=364,Tbills!$M:$M,""),""))</f>
        <v>9.9999999999997868E-3</v>
      </c>
      <c r="H101" s="64">
        <f t="array" ref="H101">+SUM(IF(Tbills!$A:$A='Bill subs'!A101,IF(Tbills!$C:$C=91,Tbills!$M:$M,""),""))</f>
        <v>0</v>
      </c>
    </row>
    <row r="102" spans="1:8" x14ac:dyDescent="0.2">
      <c r="A102" s="46">
        <v>43817</v>
      </c>
      <c r="B102" s="64">
        <f>+SUMIF(Table13[Date_d],'Bill subs'!$A102,Table13[Amount Offered])</f>
        <v>25000</v>
      </c>
      <c r="C102" s="64">
        <f>+SUMIF(Table13[Date_d],'Bill subs'!$A102,Table13[Bid Received])</f>
        <v>40827</v>
      </c>
      <c r="D102" s="64">
        <f>+SUMIF(Table13[Date_d],'Bill subs'!$A102,Table13[Bid Accepted])</f>
        <v>18009</v>
      </c>
      <c r="E102" s="7">
        <f t="shared" si="2"/>
        <v>-6991</v>
      </c>
      <c r="F102" s="77">
        <f t="shared" si="3"/>
        <v>0.72036</v>
      </c>
      <c r="G102" s="64">
        <f t="array" ref="G102">+SUM(IF(Tbills!$A:$A='Bill subs'!A102,IF(Tbills!$C:$C=364,Tbills!$M:$M,""),""))</f>
        <v>0.21999999999999886</v>
      </c>
      <c r="H102" s="64">
        <f t="array" ref="H102">+SUM(IF(Tbills!$A:$A='Bill subs'!A102,IF(Tbills!$C:$C=91,Tbills!$M:$M,""),""))</f>
        <v>5.9999999999999609E-2</v>
      </c>
    </row>
    <row r="103" spans="1:8" x14ac:dyDescent="0.2">
      <c r="A103" s="45">
        <v>43823</v>
      </c>
      <c r="B103" s="64">
        <f>+SUMIF(Table13[Date_d],'Bill subs'!$A103,Table13[Amount Offered])</f>
        <v>13500</v>
      </c>
      <c r="C103" s="64">
        <f>+SUMIF(Table13[Date_d],'Bill subs'!$A103,Table13[Bid Received])</f>
        <v>43226</v>
      </c>
      <c r="D103" s="64">
        <f>+SUMIF(Table13[Date_d],'Bill subs'!$A103,Table13[Bid Accepted])</f>
        <v>13500</v>
      </c>
      <c r="E103" s="7">
        <f t="shared" si="2"/>
        <v>0</v>
      </c>
      <c r="F103" s="77">
        <f t="shared" si="3"/>
        <v>1</v>
      </c>
      <c r="G103" s="64">
        <f t="array" ref="G103">+SUM(IF(Tbills!$A:$A='Bill subs'!A103,IF(Tbills!$C:$C=364,Tbills!$M:$M,""),""))</f>
        <v>0</v>
      </c>
      <c r="H103" s="64">
        <f t="array" ref="H103">+SUM(IF(Tbills!$A:$A='Bill subs'!A103,IF(Tbills!$C:$C=91,Tbills!$M:$M,""),""))</f>
        <v>0</v>
      </c>
    </row>
    <row r="104" spans="1:8" x14ac:dyDescent="0.2">
      <c r="A104" s="46">
        <v>43831</v>
      </c>
      <c r="B104" s="64">
        <f>+SUMIF(Table13[Date_d],'Bill subs'!$A104,Table13[Amount Offered])</f>
        <v>25000</v>
      </c>
      <c r="C104" s="64">
        <f>+SUMIF(Table13[Date_d],'Bill subs'!$A104,Table13[Bid Received])</f>
        <v>61614</v>
      </c>
      <c r="D104" s="64">
        <f>+SUMIF(Table13[Date_d],'Bill subs'!$A104,Table13[Bid Accepted])</f>
        <v>25000</v>
      </c>
      <c r="E104" s="7">
        <f t="shared" si="2"/>
        <v>0</v>
      </c>
      <c r="F104" s="77">
        <f t="shared" si="3"/>
        <v>1</v>
      </c>
      <c r="G104" s="64">
        <f t="array" ref="G104">+SUM(IF(Tbills!$A:$A='Bill subs'!A104,IF(Tbills!$C:$C=364,Tbills!$M:$M,""),""))</f>
        <v>0</v>
      </c>
      <c r="H104" s="64">
        <f t="array" ref="H104">+SUM(IF(Tbills!$A:$A='Bill subs'!A104,IF(Tbills!$C:$C=91,Tbills!$M:$M,""),""))</f>
        <v>0</v>
      </c>
    </row>
    <row r="105" spans="1:8" x14ac:dyDescent="0.2">
      <c r="A105" s="45">
        <v>43837</v>
      </c>
      <c r="B105" s="64">
        <f>+SUMIF(Table13[Date_d],'Bill subs'!$A105,Table13[Amount Offered])</f>
        <v>25000</v>
      </c>
      <c r="C105" s="64">
        <f>+SUMIF(Table13[Date_d],'Bill subs'!$A105,Table13[Bid Received])</f>
        <v>47832</v>
      </c>
      <c r="D105" s="64">
        <f>+SUMIF(Table13[Date_d],'Bill subs'!$A105,Table13[Bid Accepted])</f>
        <v>25000</v>
      </c>
      <c r="E105" s="7">
        <f t="shared" si="2"/>
        <v>0</v>
      </c>
      <c r="F105" s="77">
        <f t="shared" si="3"/>
        <v>1</v>
      </c>
      <c r="G105" s="64">
        <f t="array" ref="G105">+SUM(IF(Tbills!$A:$A='Bill subs'!A105,IF(Tbills!$C:$C=364,Tbills!$M:$M,""),""))</f>
        <v>7.0000000000000284E-2</v>
      </c>
      <c r="H105" s="64">
        <f t="array" ref="H105">+SUM(IF(Tbills!$A:$A='Bill subs'!A105,IF(Tbills!$C:$C=91,Tbills!$M:$M,""),""))</f>
        <v>0</v>
      </c>
    </row>
    <row r="106" spans="1:8" x14ac:dyDescent="0.2">
      <c r="A106" s="46">
        <v>43844</v>
      </c>
      <c r="B106" s="64">
        <f>+SUMIF(Table13[Date_d],'Bill subs'!$A106,Table13[Amount Offered])</f>
        <v>25000</v>
      </c>
      <c r="C106" s="64">
        <f>+SUMIF(Table13[Date_d],'Bill subs'!$A106,Table13[Bid Received])</f>
        <v>55756</v>
      </c>
      <c r="D106" s="64">
        <f>+SUMIF(Table13[Date_d],'Bill subs'!$A106,Table13[Bid Accepted])</f>
        <v>25000</v>
      </c>
      <c r="E106" s="7">
        <f t="shared" si="2"/>
        <v>0</v>
      </c>
      <c r="F106" s="77">
        <f t="shared" si="3"/>
        <v>1</v>
      </c>
      <c r="G106" s="64">
        <f t="array" ref="G106">+SUM(IF(Tbills!$A:$A='Bill subs'!A106,IF(Tbills!$C:$C=364,Tbills!$M:$M,""),""))</f>
        <v>6.0000000000000497E-2</v>
      </c>
      <c r="H106" s="64">
        <f t="array" ref="H106">+SUM(IF(Tbills!$A:$A='Bill subs'!A106,IF(Tbills!$C:$C=91,Tbills!$M:$M,""),""))</f>
        <v>0</v>
      </c>
    </row>
    <row r="107" spans="1:8" x14ac:dyDescent="0.2">
      <c r="A107" s="45">
        <v>43852</v>
      </c>
      <c r="B107" s="64">
        <f>+SUMIF(Table13[Date_d],'Bill subs'!$A107,Table13[Amount Offered])</f>
        <v>25500</v>
      </c>
      <c r="C107" s="64">
        <f>+SUMIF(Table13[Date_d],'Bill subs'!$A107,Table13[Bid Received])</f>
        <v>62543</v>
      </c>
      <c r="D107" s="64">
        <f>+SUMIF(Table13[Date_d],'Bill subs'!$A107,Table13[Bid Accepted])</f>
        <v>25500</v>
      </c>
      <c r="E107" s="7">
        <f t="shared" si="2"/>
        <v>0</v>
      </c>
      <c r="F107" s="77">
        <f t="shared" si="3"/>
        <v>1</v>
      </c>
      <c r="G107" s="64">
        <f t="array" ref="G107">+SUM(IF(Tbills!$A:$A='Bill subs'!A107,IF(Tbills!$C:$C=364,Tbills!$M:$M,""),""))</f>
        <v>2.9999999999999361E-2</v>
      </c>
      <c r="H107" s="64">
        <f t="array" ref="H107">+SUM(IF(Tbills!$A:$A='Bill subs'!A107,IF(Tbills!$C:$C=91,Tbills!$M:$M,""),""))</f>
        <v>0</v>
      </c>
    </row>
    <row r="108" spans="1:8" x14ac:dyDescent="0.2">
      <c r="A108" s="46">
        <v>43859</v>
      </c>
      <c r="B108" s="64">
        <f>+SUMIF(Table13[Date_d],'Bill subs'!$A108,Table13[Amount Offered])</f>
        <v>26500</v>
      </c>
      <c r="C108" s="64">
        <f>+SUMIF(Table13[Date_d],'Bill subs'!$A108,Table13[Bid Received])</f>
        <v>85402</v>
      </c>
      <c r="D108" s="64">
        <f>+SUMIF(Table13[Date_d],'Bill subs'!$A108,Table13[Bid Accepted])</f>
        <v>26500</v>
      </c>
      <c r="E108" s="7">
        <f t="shared" si="2"/>
        <v>0</v>
      </c>
      <c r="F108" s="77">
        <f t="shared" si="3"/>
        <v>1</v>
      </c>
      <c r="G108" s="64">
        <f t="array" ref="G108">+SUM(IF(Tbills!$A:$A='Bill subs'!A108,IF(Tbills!$C:$C=364,Tbills!$M:$M,""),""))</f>
        <v>-1.9999999999999574E-2</v>
      </c>
      <c r="H108" s="64">
        <f t="array" ref="H108">+SUM(IF(Tbills!$A:$A='Bill subs'!A108,IF(Tbills!$C:$C=91,Tbills!$M:$M,""),""))</f>
        <v>-4.0000000000000036E-2</v>
      </c>
    </row>
    <row r="109" spans="1:8" x14ac:dyDescent="0.2">
      <c r="A109" s="45">
        <v>43866</v>
      </c>
      <c r="B109" s="64">
        <f>+SUMIF(Table13[Date_d],'Bill subs'!$A109,Table13[Amount Offered])</f>
        <v>30000</v>
      </c>
      <c r="C109" s="64">
        <f>+SUMIF(Table13[Date_d],'Bill subs'!$A109,Table13[Bid Received])</f>
        <v>91608</v>
      </c>
      <c r="D109" s="64">
        <f>+SUMIF(Table13[Date_d],'Bill subs'!$A109,Table13[Bid Accepted])</f>
        <v>30000</v>
      </c>
      <c r="E109" s="7">
        <f t="shared" si="2"/>
        <v>0</v>
      </c>
      <c r="F109" s="77">
        <f t="shared" si="3"/>
        <v>1</v>
      </c>
      <c r="G109" s="64">
        <f t="array" ref="G109">+SUM(IF(Tbills!$A:$A='Bill subs'!A109,IF(Tbills!$C:$C=364,Tbills!$M:$M,""),""))</f>
        <v>-0.16999999999999993</v>
      </c>
      <c r="H109" s="64">
        <f t="array" ref="H109">+SUM(IF(Tbills!$A:$A='Bill subs'!A109,IF(Tbills!$C:$C=91,Tbills!$M:$M,""),""))</f>
        <v>-0.13999999999999968</v>
      </c>
    </row>
    <row r="110" spans="1:8" x14ac:dyDescent="0.2">
      <c r="A110" s="46">
        <v>43873</v>
      </c>
      <c r="B110" s="64">
        <f>+SUMIF(Table13[Date_d],'Bill subs'!$A110,Table13[Amount Offered])</f>
        <v>29500</v>
      </c>
      <c r="C110" s="64">
        <f>+SUMIF(Table13[Date_d],'Bill subs'!$A110,Table13[Bid Received])</f>
        <v>76061</v>
      </c>
      <c r="D110" s="64">
        <f>+SUMIF(Table13[Date_d],'Bill subs'!$A110,Table13[Bid Accepted])</f>
        <v>29500</v>
      </c>
      <c r="E110" s="7">
        <f t="shared" si="2"/>
        <v>0</v>
      </c>
      <c r="F110" s="77">
        <f t="shared" si="3"/>
        <v>1</v>
      </c>
      <c r="G110" s="64">
        <f t="array" ref="G110">+SUM(IF(Tbills!$A:$A='Bill subs'!A110,IF(Tbills!$C:$C=364,Tbills!$M:$M,""),""))</f>
        <v>0.13000000000000078</v>
      </c>
      <c r="H110" s="64">
        <f t="array" ref="H110">+SUM(IF(Tbills!$A:$A='Bill subs'!A110,IF(Tbills!$C:$C=91,Tbills!$M:$M,""),""))</f>
        <v>-9.9999999999997868E-3</v>
      </c>
    </row>
    <row r="111" spans="1:8" x14ac:dyDescent="0.2">
      <c r="A111" s="45">
        <v>43879</v>
      </c>
      <c r="B111" s="64">
        <f>+SUMIF(Table13[Date_d],'Bill subs'!$A111,Table13[Amount Offered])</f>
        <v>25000</v>
      </c>
      <c r="C111" s="64">
        <f>+SUMIF(Table13[Date_d],'Bill subs'!$A111,Table13[Bid Received])</f>
        <v>64354</v>
      </c>
      <c r="D111" s="64">
        <f>+SUMIF(Table13[Date_d],'Bill subs'!$A111,Table13[Bid Accepted])</f>
        <v>25000</v>
      </c>
      <c r="E111" s="7">
        <f t="shared" si="2"/>
        <v>0</v>
      </c>
      <c r="F111" s="77">
        <f t="shared" si="3"/>
        <v>1</v>
      </c>
      <c r="G111" s="64">
        <f t="array" ref="G111">+SUM(IF(Tbills!$A:$A='Bill subs'!A111,IF(Tbills!$C:$C=364,Tbills!$M:$M,""),""))</f>
        <v>4.9999999999998934E-2</v>
      </c>
      <c r="H111" s="64">
        <f t="array" ref="H111">+SUM(IF(Tbills!$A:$A='Bill subs'!A111,IF(Tbills!$C:$C=91,Tbills!$M:$M,""),""))</f>
        <v>8.0000000000000071E-2</v>
      </c>
    </row>
    <row r="112" spans="1:8" x14ac:dyDescent="0.2">
      <c r="A112" s="46">
        <v>43887</v>
      </c>
      <c r="B112" s="64">
        <f>+SUMIF(Table13[Date_d],'Bill subs'!$A112,Table13[Amount Offered])</f>
        <v>27000</v>
      </c>
      <c r="C112" s="64">
        <f>+SUMIF(Table13[Date_d],'Bill subs'!$A112,Table13[Bid Received])</f>
        <v>100153</v>
      </c>
      <c r="D112" s="64">
        <f>+SUMIF(Table13[Date_d],'Bill subs'!$A112,Table13[Bid Accepted])</f>
        <v>27000</v>
      </c>
      <c r="E112" s="7">
        <f t="shared" si="2"/>
        <v>0</v>
      </c>
      <c r="F112" s="77">
        <f t="shared" si="3"/>
        <v>1</v>
      </c>
      <c r="G112" s="64">
        <f t="array" ref="G112">+SUM(IF(Tbills!$A:$A='Bill subs'!A112,IF(Tbills!$C:$C=364,Tbills!$M:$M,""),""))</f>
        <v>-1.9999999999999574E-2</v>
      </c>
      <c r="H112" s="64">
        <f t="array" ref="H112">+SUM(IF(Tbills!$A:$A='Bill subs'!A112,IF(Tbills!$C:$C=91,Tbills!$M:$M,""),""))</f>
        <v>-2.0000000000000462E-2</v>
      </c>
    </row>
    <row r="113" spans="1:8" x14ac:dyDescent="0.2">
      <c r="A113" s="45">
        <v>43894</v>
      </c>
      <c r="B113" s="64">
        <f>+SUMIF(Table13[Date_d],'Bill subs'!$A113,Table13[Amount Offered])</f>
        <v>29000</v>
      </c>
      <c r="C113" s="64">
        <f>+SUMIF(Table13[Date_d],'Bill subs'!$A113,Table13[Bid Received])</f>
        <v>95533</v>
      </c>
      <c r="D113" s="64">
        <f>+SUMIF(Table13[Date_d],'Bill subs'!$A113,Table13[Bid Accepted])</f>
        <v>29000</v>
      </c>
      <c r="E113" s="7">
        <f t="shared" si="2"/>
        <v>0</v>
      </c>
      <c r="F113" s="77">
        <f t="shared" si="3"/>
        <v>1</v>
      </c>
      <c r="G113" s="64">
        <f t="array" ref="G113">+SUM(IF(Tbills!$A:$A='Bill subs'!A113,IF(Tbills!$C:$C=364,Tbills!$M:$M,""),""))</f>
        <v>-0.11999999999999922</v>
      </c>
      <c r="H113" s="64">
        <f t="array" ref="H113">+SUM(IF(Tbills!$A:$A='Bill subs'!A113,IF(Tbills!$C:$C=91,Tbills!$M:$M,""),""))</f>
        <v>-9.9999999999997868E-3</v>
      </c>
    </row>
    <row r="114" spans="1:8" x14ac:dyDescent="0.2">
      <c r="A114" s="46">
        <v>43901</v>
      </c>
      <c r="B114" s="64">
        <f>+SUMIF(Table13[Date_d],'Bill subs'!$A114,Table13[Amount Offered])</f>
        <v>32000</v>
      </c>
      <c r="C114" s="64">
        <f>+SUMIF(Table13[Date_d],'Bill subs'!$A114,Table13[Bid Received])</f>
        <v>84694</v>
      </c>
      <c r="D114" s="64">
        <f>+SUMIF(Table13[Date_d],'Bill subs'!$A114,Table13[Bid Accepted])</f>
        <v>32000</v>
      </c>
      <c r="E114" s="7">
        <f t="shared" si="2"/>
        <v>0</v>
      </c>
      <c r="F114" s="77">
        <f t="shared" si="3"/>
        <v>1</v>
      </c>
      <c r="G114" s="64">
        <f t="array" ref="G114">+SUM(IF(Tbills!$A:$A='Bill subs'!A114,IF(Tbills!$C:$C=364,Tbills!$M:$M,""),""))</f>
        <v>1.9999999999999574E-2</v>
      </c>
      <c r="H114" s="64">
        <f t="array" ref="H114">+SUM(IF(Tbills!$A:$A='Bill subs'!A114,IF(Tbills!$C:$C=91,Tbills!$M:$M,""),""))</f>
        <v>0</v>
      </c>
    </row>
    <row r="115" spans="1:8" x14ac:dyDescent="0.2">
      <c r="A115" s="45">
        <v>43908</v>
      </c>
      <c r="B115" s="64">
        <f>+SUMIF(Table13[Date_d],'Bill subs'!$A115,Table13[Amount Offered])</f>
        <v>29000</v>
      </c>
      <c r="C115" s="64">
        <f>+SUMIF(Table13[Date_d],'Bill subs'!$A115,Table13[Bid Received])</f>
        <v>87175</v>
      </c>
      <c r="D115" s="64">
        <f>+SUMIF(Table13[Date_d],'Bill subs'!$A115,Table13[Bid Accepted])</f>
        <v>29000</v>
      </c>
      <c r="E115" s="7">
        <f t="shared" si="2"/>
        <v>0</v>
      </c>
      <c r="F115" s="77">
        <f t="shared" si="3"/>
        <v>1</v>
      </c>
      <c r="G115" s="64">
        <f t="array" ref="G115">+SUM(IF(Tbills!$A:$A='Bill subs'!A115,IF(Tbills!$C:$C=364,Tbills!$M:$M,""),""))</f>
        <v>-0.16000000000000014</v>
      </c>
      <c r="H115" s="64">
        <f t="array" ref="H115">+SUM(IF(Tbills!$A:$A='Bill subs'!A115,IF(Tbills!$C:$C=91,Tbills!$M:$M,""),""))</f>
        <v>-0.14000000000000057</v>
      </c>
    </row>
    <row r="116" spans="1:8" x14ac:dyDescent="0.2">
      <c r="A116" s="46">
        <v>43915</v>
      </c>
      <c r="B116" s="64">
        <f>+SUMIF(Table13[Date_d],'Bill subs'!$A116,Table13[Amount Offered])</f>
        <v>30000</v>
      </c>
      <c r="C116" s="64">
        <f>+SUMIF(Table13[Date_d],'Bill subs'!$A116,Table13[Bid Received])</f>
        <v>69986</v>
      </c>
      <c r="D116" s="64">
        <f>+SUMIF(Table13[Date_d],'Bill subs'!$A116,Table13[Bid Accepted])</f>
        <v>25000</v>
      </c>
      <c r="E116" s="7">
        <f t="shared" si="2"/>
        <v>-5000</v>
      </c>
      <c r="F116" s="77">
        <f t="shared" si="3"/>
        <v>0.83333333333333337</v>
      </c>
      <c r="G116" s="64">
        <f t="array" ref="G116">+SUM(IF(Tbills!$A:$A='Bill subs'!A116,IF(Tbills!$C:$C=364,Tbills!$M:$M,""),""))</f>
        <v>-0.82000000000000028</v>
      </c>
      <c r="H116" s="64">
        <f t="array" ref="H116">+SUM(IF(Tbills!$A:$A='Bill subs'!A116,IF(Tbills!$C:$C=91,Tbills!$M:$M,""),""))</f>
        <v>-0.26999999999999957</v>
      </c>
    </row>
    <row r="117" spans="1:8" x14ac:dyDescent="0.2">
      <c r="A117" s="45">
        <v>43922</v>
      </c>
      <c r="B117" s="64">
        <f>+SUMIF(Table13[Date_d],'Bill subs'!$A117,Table13[Amount Offered])</f>
        <v>30000</v>
      </c>
      <c r="C117" s="64">
        <f>+SUMIF(Table13[Date_d],'Bill subs'!$A117,Table13[Bid Received])</f>
        <v>54928</v>
      </c>
      <c r="D117" s="64">
        <f>+SUMIF(Table13[Date_d],'Bill subs'!$A117,Table13[Bid Accepted])</f>
        <v>25000</v>
      </c>
      <c r="E117" s="7">
        <f t="shared" si="2"/>
        <v>-5000</v>
      </c>
      <c r="F117" s="77">
        <f t="shared" si="3"/>
        <v>0.83333333333333337</v>
      </c>
      <c r="G117" s="64">
        <f t="array" ref="G117">+SUM(IF(Tbills!$A:$A='Bill subs'!A117,IF(Tbills!$C:$C=364,Tbills!$M:$M,""),""))</f>
        <v>-9.9999999999999645E-2</v>
      </c>
      <c r="H117" s="64">
        <f t="array" ref="H117">+SUM(IF(Tbills!$A:$A='Bill subs'!A117,IF(Tbills!$C:$C=91,Tbills!$M:$M,""),""))</f>
        <v>-0.20000000000000018</v>
      </c>
    </row>
    <row r="118" spans="1:8" x14ac:dyDescent="0.2">
      <c r="A118" s="46">
        <v>43927</v>
      </c>
      <c r="B118" s="64">
        <f>+SUMIF(Table13[Date_d],'Bill subs'!$A118,Table13[Amount Offered])</f>
        <v>30000</v>
      </c>
      <c r="C118" s="64">
        <f>+SUMIF(Table13[Date_d],'Bill subs'!$A118,Table13[Bid Received])</f>
        <v>53688</v>
      </c>
      <c r="D118" s="64">
        <f>+SUMIF(Table13[Date_d],'Bill subs'!$A118,Table13[Bid Accepted])</f>
        <v>13900</v>
      </c>
      <c r="E118" s="7">
        <f t="shared" si="2"/>
        <v>-16100</v>
      </c>
      <c r="F118" s="77">
        <f t="shared" si="3"/>
        <v>0.46333333333333332</v>
      </c>
      <c r="G118" s="64">
        <f t="array" ref="G118">+SUM(IF(Tbills!$A:$A='Bill subs'!A118,IF(Tbills!$C:$C=364,Tbills!$M:$M,""),""))</f>
        <v>-0.40000000000000036</v>
      </c>
      <c r="H118" s="64">
        <f t="array" ref="H118">+SUM(IF(Tbills!$A:$A='Bill subs'!A118,IF(Tbills!$C:$C=91,Tbills!$M:$M,""),""))</f>
        <v>0</v>
      </c>
    </row>
    <row r="119" spans="1:8" x14ac:dyDescent="0.2">
      <c r="A119" s="45">
        <v>43936</v>
      </c>
      <c r="B119" s="64">
        <f>+SUMIF(Table13[Date_d],'Bill subs'!$A119,Table13[Amount Offered])</f>
        <v>30000</v>
      </c>
      <c r="C119" s="64">
        <f>+SUMIF(Table13[Date_d],'Bill subs'!$A119,Table13[Bid Received])</f>
        <v>39315</v>
      </c>
      <c r="D119" s="64">
        <f>+SUMIF(Table13[Date_d],'Bill subs'!$A119,Table13[Bid Accepted])</f>
        <v>9905</v>
      </c>
      <c r="E119" s="7">
        <f t="shared" si="2"/>
        <v>-20095</v>
      </c>
      <c r="F119" s="77">
        <f t="shared" si="3"/>
        <v>0.33016666666666666</v>
      </c>
      <c r="G119" s="64">
        <f t="array" ref="G119">+SUM(IF(Tbills!$A:$A='Bill subs'!A119,IF(Tbills!$C:$C=364,Tbills!$M:$M,""),""))</f>
        <v>0</v>
      </c>
      <c r="H119" s="64">
        <f t="array" ref="H119">+SUM(IF(Tbills!$A:$A='Bill subs'!A119,IF(Tbills!$C:$C=91,Tbills!$M:$M,""),""))</f>
        <v>0</v>
      </c>
    </row>
    <row r="120" spans="1:8" x14ac:dyDescent="0.2">
      <c r="A120" s="46">
        <v>43943</v>
      </c>
      <c r="B120" s="64">
        <f>+SUMIF(Table13[Date_d],'Bill subs'!$A120,Table13[Amount Offered])</f>
        <v>30000</v>
      </c>
      <c r="C120" s="64">
        <f>+SUMIF(Table13[Date_d],'Bill subs'!$A120,Table13[Bid Received])</f>
        <v>52081</v>
      </c>
      <c r="D120" s="64">
        <f>+SUMIF(Table13[Date_d],'Bill subs'!$A120,Table13[Bid Accepted])</f>
        <v>22131</v>
      </c>
      <c r="E120" s="7">
        <f t="shared" si="2"/>
        <v>-7869</v>
      </c>
      <c r="F120" s="77">
        <f t="shared" si="3"/>
        <v>0.73770000000000002</v>
      </c>
      <c r="G120" s="64">
        <f t="array" ref="G120">+SUM(IF(Tbills!$A:$A='Bill subs'!A120,IF(Tbills!$C:$C=364,Tbills!$M:$M,""),""))</f>
        <v>0</v>
      </c>
      <c r="H120" s="64">
        <f t="array" ref="H120">+SUM(IF(Tbills!$A:$A='Bill subs'!A120,IF(Tbills!$C:$C=91,Tbills!$M:$M,""),""))</f>
        <v>0</v>
      </c>
    </row>
    <row r="121" spans="1:8" x14ac:dyDescent="0.2">
      <c r="A121" s="45">
        <v>43949</v>
      </c>
      <c r="B121" s="64">
        <f>+SUMIF(Table13[Date_d],'Bill subs'!$A121,Table13[Amount Offered])</f>
        <v>30000</v>
      </c>
      <c r="C121" s="64">
        <f>+SUMIF(Table13[Date_d],'Bill subs'!$A121,Table13[Bid Received])</f>
        <v>56528</v>
      </c>
      <c r="D121" s="64">
        <f>+SUMIF(Table13[Date_d],'Bill subs'!$A121,Table13[Bid Accepted])</f>
        <v>23350</v>
      </c>
      <c r="E121" s="7">
        <f t="shared" si="2"/>
        <v>-6650</v>
      </c>
      <c r="F121" s="77">
        <f t="shared" si="3"/>
        <v>0.77833333333333332</v>
      </c>
      <c r="G121" s="64">
        <f t="array" ref="G121">+SUM(IF(Tbills!$A:$A='Bill subs'!A121,IF(Tbills!$C:$C=364,Tbills!$M:$M,""),""))</f>
        <v>0</v>
      </c>
      <c r="H121" s="64">
        <f t="array" ref="H121">+SUM(IF(Tbills!$A:$A='Bill subs'!A121,IF(Tbills!$C:$C=91,Tbills!$M:$M,""),""))</f>
        <v>0</v>
      </c>
    </row>
    <row r="122" spans="1:8" x14ac:dyDescent="0.2">
      <c r="A122" s="46">
        <v>43955</v>
      </c>
      <c r="B122" s="64">
        <f>+SUMIF(Table13[Date_d],'Bill subs'!$A122,Table13[Amount Offered])</f>
        <v>30000</v>
      </c>
      <c r="C122" s="64">
        <f>+SUMIF(Table13[Date_d],'Bill subs'!$A122,Table13[Bid Received])</f>
        <v>44735</v>
      </c>
      <c r="D122" s="64">
        <f>+SUMIF(Table13[Date_d],'Bill subs'!$A122,Table13[Bid Accepted])</f>
        <v>19265</v>
      </c>
      <c r="E122" s="7">
        <f t="shared" si="2"/>
        <v>-10735</v>
      </c>
      <c r="F122" s="77">
        <f t="shared" si="3"/>
        <v>0.64216666666666666</v>
      </c>
      <c r="G122" s="64">
        <f t="array" ref="G122">+SUM(IF(Tbills!$A:$A='Bill subs'!A122,IF(Tbills!$C:$C=364,Tbills!$M:$M,""),""))</f>
        <v>0</v>
      </c>
      <c r="H122" s="64">
        <f t="array" ref="H122">+SUM(IF(Tbills!$A:$A='Bill subs'!A122,IF(Tbills!$C:$C=91,Tbills!$M:$M,""),""))</f>
        <v>8.9999999999999858E-2</v>
      </c>
    </row>
    <row r="123" spans="1:8" x14ac:dyDescent="0.2">
      <c r="A123" s="45">
        <v>43964</v>
      </c>
      <c r="B123" s="64">
        <f>+SUMIF(Table13[Date_d],'Bill subs'!$A123,Table13[Amount Offered])</f>
        <v>30000</v>
      </c>
      <c r="C123" s="64">
        <f>+SUMIF(Table13[Date_d],'Bill subs'!$A123,Table13[Bid Received])</f>
        <v>53410</v>
      </c>
      <c r="D123" s="64">
        <f>+SUMIF(Table13[Date_d],'Bill subs'!$A123,Table13[Bid Accepted])</f>
        <v>30000</v>
      </c>
      <c r="E123" s="7">
        <f t="shared" si="2"/>
        <v>0</v>
      </c>
      <c r="F123" s="77">
        <f t="shared" si="3"/>
        <v>1</v>
      </c>
      <c r="G123" s="64">
        <f t="array" ref="G123">+SUM(IF(Tbills!$A:$A='Bill subs'!A123,IF(Tbills!$C:$C=364,Tbills!$M:$M,""),""))</f>
        <v>-5.9999999999999609E-2</v>
      </c>
      <c r="H123" s="64">
        <f t="array" ref="H123">+SUM(IF(Tbills!$A:$A='Bill subs'!A123,IF(Tbills!$C:$C=91,Tbills!$M:$M,""),""))</f>
        <v>-9.9999999999999645E-2</v>
      </c>
    </row>
    <row r="124" spans="1:8" x14ac:dyDescent="0.2">
      <c r="A124" s="46">
        <v>43971</v>
      </c>
      <c r="B124" s="64">
        <f>+SUMIF(Table13[Date_d],'Bill subs'!$A124,Table13[Amount Offered])</f>
        <v>30000</v>
      </c>
      <c r="C124" s="64">
        <f>+SUMIF(Table13[Date_d],'Bill subs'!$A124,Table13[Bid Received])</f>
        <v>67355</v>
      </c>
      <c r="D124" s="64">
        <f>+SUMIF(Table13[Date_d],'Bill subs'!$A124,Table13[Bid Accepted])</f>
        <v>30000</v>
      </c>
      <c r="E124" s="7">
        <f t="shared" si="2"/>
        <v>0</v>
      </c>
      <c r="F124" s="77">
        <f t="shared" si="3"/>
        <v>1</v>
      </c>
      <c r="G124" s="64">
        <f t="array" ref="G124">+SUM(IF(Tbills!$A:$A='Bill subs'!A124,IF(Tbills!$C:$C=364,Tbills!$M:$M,""),""))</f>
        <v>-1.0000000000000675E-2</v>
      </c>
      <c r="H124" s="64">
        <f t="array" ref="H124">+SUM(IF(Tbills!$A:$A='Bill subs'!A124,IF(Tbills!$C:$C=91,Tbills!$M:$M,""),""))</f>
        <v>-3.0000000000000249E-2</v>
      </c>
    </row>
    <row r="125" spans="1:8" x14ac:dyDescent="0.2">
      <c r="A125" s="45">
        <v>43978</v>
      </c>
      <c r="B125" s="64">
        <f>+SUMIF(Table13[Date_d],'Bill subs'!$A125,Table13[Amount Offered])</f>
        <v>30000</v>
      </c>
      <c r="C125" s="64">
        <f>+SUMIF(Table13[Date_d],'Bill subs'!$A125,Table13[Bid Received])</f>
        <v>66682</v>
      </c>
      <c r="D125" s="64">
        <f>+SUMIF(Table13[Date_d],'Bill subs'!$A125,Table13[Bid Accepted])</f>
        <v>30000</v>
      </c>
      <c r="E125" s="7">
        <f t="shared" si="2"/>
        <v>0</v>
      </c>
      <c r="F125" s="77">
        <f t="shared" si="3"/>
        <v>1</v>
      </c>
      <c r="G125" s="64">
        <f t="array" ref="G125">+SUM(IF(Tbills!$A:$A='Bill subs'!A125,IF(Tbills!$C:$C=364,Tbills!$M:$M,""),""))</f>
        <v>0</v>
      </c>
      <c r="H125" s="64">
        <f t="array" ref="H125">+SUM(IF(Tbills!$A:$A='Bill subs'!A125,IF(Tbills!$C:$C=91,Tbills!$M:$M,""),""))</f>
        <v>-1.9999999999999574E-2</v>
      </c>
    </row>
    <row r="126" spans="1:8" x14ac:dyDescent="0.2">
      <c r="A126" s="46">
        <v>43984</v>
      </c>
      <c r="B126" s="64">
        <f>+SUMIF(Table13[Date_d],'Bill subs'!$A126,Table13[Amount Offered])</f>
        <v>21500</v>
      </c>
      <c r="C126" s="64">
        <f>+SUMIF(Table13[Date_d],'Bill subs'!$A126,Table13[Bid Received])</f>
        <v>36513</v>
      </c>
      <c r="D126" s="64">
        <f>+SUMIF(Table13[Date_d],'Bill subs'!$A126,Table13[Bid Accepted])</f>
        <v>20463</v>
      </c>
      <c r="E126" s="7">
        <f t="shared" si="2"/>
        <v>-1037</v>
      </c>
      <c r="F126" s="77">
        <f t="shared" si="3"/>
        <v>0.95176744186046514</v>
      </c>
      <c r="G126" s="64">
        <f t="array" ref="G126">+SUM(IF(Tbills!$A:$A='Bill subs'!A126,IF(Tbills!$C:$C=364,Tbills!$M:$M,""),""))</f>
        <v>-0.25</v>
      </c>
      <c r="H126" s="64">
        <f t="array" ref="H126">+SUM(IF(Tbills!$A:$A='Bill subs'!A126,IF(Tbills!$C:$C=91,Tbills!$M:$M,""),""))</f>
        <v>0.23999999999999932</v>
      </c>
    </row>
    <row r="127" spans="1:8" x14ac:dyDescent="0.2">
      <c r="A127" s="45">
        <v>43992</v>
      </c>
      <c r="B127" s="64">
        <f>+SUMIF(Table13[Date_d],'Bill subs'!$A127,Table13[Amount Offered])</f>
        <v>23000</v>
      </c>
      <c r="C127" s="64">
        <f>+SUMIF(Table13[Date_d],'Bill subs'!$A127,Table13[Bid Received])</f>
        <v>38750</v>
      </c>
      <c r="D127" s="64">
        <f>+SUMIF(Table13[Date_d],'Bill subs'!$A127,Table13[Bid Accepted])</f>
        <v>21200</v>
      </c>
      <c r="E127" s="7">
        <f t="shared" si="2"/>
        <v>-1800</v>
      </c>
      <c r="F127" s="77">
        <f t="shared" si="3"/>
        <v>0.92173913043478262</v>
      </c>
      <c r="G127" s="64">
        <f t="array" ref="G127">+SUM(IF(Tbills!$A:$A='Bill subs'!A127,IF(Tbills!$C:$C=364,Tbills!$M:$M,""),""))</f>
        <v>0.24000000000000021</v>
      </c>
      <c r="H127" s="64">
        <f t="array" ref="H127">+SUM(IF(Tbills!$A:$A='Bill subs'!A127,IF(Tbills!$C:$C=91,Tbills!$M:$M,""),""))</f>
        <v>-0.25999999999999979</v>
      </c>
    </row>
    <row r="128" spans="1:8" x14ac:dyDescent="0.2">
      <c r="A128" s="46">
        <v>43999</v>
      </c>
      <c r="B128" s="64">
        <f>+SUMIF(Table13[Date_d],'Bill subs'!$A128,Table13[Amount Offered])</f>
        <v>23000</v>
      </c>
      <c r="C128" s="64">
        <f>+SUMIF(Table13[Date_d],'Bill subs'!$A128,Table13[Bid Received])</f>
        <v>133803</v>
      </c>
      <c r="D128" s="64">
        <f>+SUMIF(Table13[Date_d],'Bill subs'!$A128,Table13[Bid Accepted])</f>
        <v>23000</v>
      </c>
      <c r="E128" s="7">
        <f t="shared" si="2"/>
        <v>0</v>
      </c>
      <c r="F128" s="77">
        <f t="shared" si="3"/>
        <v>1</v>
      </c>
      <c r="G128" s="64">
        <f t="array" ref="G128">+SUM(IF(Tbills!$A:$A='Bill subs'!A128,IF(Tbills!$C:$C=364,Tbills!$M:$M,""),""))</f>
        <v>-0.29999999999999982</v>
      </c>
      <c r="H128" s="64">
        <f t="array" ref="H128">+SUM(IF(Tbills!$A:$A='Bill subs'!A128,IF(Tbills!$C:$C=91,Tbills!$M:$M,""),""))</f>
        <v>-0.37000000000000011</v>
      </c>
    </row>
    <row r="129" spans="1:8" x14ac:dyDescent="0.2">
      <c r="A129" s="45">
        <v>44006</v>
      </c>
      <c r="B129" s="64">
        <f>+SUMIF(Table13[Date_d],'Bill subs'!$A129,Table13[Amount Offered])</f>
        <v>27000</v>
      </c>
      <c r="C129" s="64">
        <f>+SUMIF(Table13[Date_d],'Bill subs'!$A129,Table13[Bid Received])</f>
        <v>128181</v>
      </c>
      <c r="D129" s="64">
        <f>+SUMIF(Table13[Date_d],'Bill subs'!$A129,Table13[Bid Accepted])</f>
        <v>27000</v>
      </c>
      <c r="E129" s="7">
        <f t="shared" si="2"/>
        <v>0</v>
      </c>
      <c r="F129" s="77">
        <f t="shared" si="3"/>
        <v>1</v>
      </c>
      <c r="G129" s="64">
        <f t="array" ref="G129">+SUM(IF(Tbills!$A:$A='Bill subs'!A129,IF(Tbills!$C:$C=364,Tbills!$M:$M,""),""))</f>
        <v>-0.96</v>
      </c>
      <c r="H129" s="64">
        <f t="array" ref="H129">+SUM(IF(Tbills!$A:$A='Bill subs'!A129,IF(Tbills!$C:$C=91,Tbills!$M:$M,""),""))</f>
        <v>-0.79999999999999982</v>
      </c>
    </row>
    <row r="130" spans="1:8" x14ac:dyDescent="0.2">
      <c r="A130" s="46">
        <v>44013</v>
      </c>
      <c r="B130" s="64">
        <f>+SUMIF(Table13[Date_d],'Bill subs'!$A130,Table13[Amount Offered])</f>
        <v>29000</v>
      </c>
      <c r="C130" s="64">
        <f>+SUMIF(Table13[Date_d],'Bill subs'!$A130,Table13[Bid Received])</f>
        <v>95418</v>
      </c>
      <c r="D130" s="64">
        <f>+SUMIF(Table13[Date_d],'Bill subs'!$A130,Table13[Bid Accepted])</f>
        <v>29000</v>
      </c>
      <c r="E130" s="7">
        <f t="shared" ref="E130:E193" si="4">+D130-B130</f>
        <v>0</v>
      </c>
      <c r="F130" s="77">
        <f t="shared" ref="F130:F193" si="5">+D130/B130</f>
        <v>1</v>
      </c>
      <c r="G130" s="64">
        <f t="array" ref="G130">+SUM(IF(Tbills!$A:$A='Bill subs'!A130,IF(Tbills!$C:$C=364,Tbills!$M:$M,""),""))</f>
        <v>-0.20999999999999996</v>
      </c>
      <c r="H130" s="64">
        <f t="array" ref="H130">+SUM(IF(Tbills!$A:$A='Bill subs'!A130,IF(Tbills!$C:$C=91,Tbills!$M:$M,""),""))</f>
        <v>-0.41999999999999993</v>
      </c>
    </row>
    <row r="131" spans="1:8" x14ac:dyDescent="0.2">
      <c r="A131" s="45">
        <v>44020</v>
      </c>
      <c r="B131" s="64">
        <f>+SUMIF(Table13[Date_d],'Bill subs'!$A131,Table13[Amount Offered])</f>
        <v>28500</v>
      </c>
      <c r="C131" s="64">
        <f>+SUMIF(Table13[Date_d],'Bill subs'!$A131,Table13[Bid Received])</f>
        <v>61025</v>
      </c>
      <c r="D131" s="64">
        <f>+SUMIF(Table13[Date_d],'Bill subs'!$A131,Table13[Bid Accepted])</f>
        <v>28500</v>
      </c>
      <c r="E131" s="7">
        <f t="shared" si="4"/>
        <v>0</v>
      </c>
      <c r="F131" s="77">
        <f t="shared" si="5"/>
        <v>1</v>
      </c>
      <c r="G131" s="64">
        <f t="array" ref="G131">+SUM(IF(Tbills!$A:$A='Bill subs'!A131,IF(Tbills!$C:$C=364,Tbills!$M:$M,""),""))</f>
        <v>-0.12999999999999989</v>
      </c>
      <c r="H131" s="64">
        <f t="array" ref="H131">+SUM(IF(Tbills!$A:$A='Bill subs'!A131,IF(Tbills!$C:$C=91,Tbills!$M:$M,""),""))</f>
        <v>0</v>
      </c>
    </row>
    <row r="132" spans="1:8" x14ac:dyDescent="0.2">
      <c r="A132" s="46">
        <v>44027</v>
      </c>
      <c r="B132" s="64">
        <f>+SUMIF(Table13[Date_d],'Bill subs'!$A132,Table13[Amount Offered])</f>
        <v>29500</v>
      </c>
      <c r="C132" s="64">
        <f>+SUMIF(Table13[Date_d],'Bill subs'!$A132,Table13[Bid Received])</f>
        <v>118031</v>
      </c>
      <c r="D132" s="64">
        <f>+SUMIF(Table13[Date_d],'Bill subs'!$A132,Table13[Bid Accepted])</f>
        <v>29500</v>
      </c>
      <c r="E132" s="7">
        <f t="shared" si="4"/>
        <v>0</v>
      </c>
      <c r="F132" s="77">
        <f t="shared" si="5"/>
        <v>1</v>
      </c>
      <c r="G132" s="64">
        <f t="array" ref="G132">+SUM(IF(Tbills!$A:$A='Bill subs'!A132,IF(Tbills!$C:$C=364,Tbills!$M:$M,""),""))</f>
        <v>-0.41000000000000014</v>
      </c>
      <c r="H132" s="64">
        <f t="array" ref="H132">+SUM(IF(Tbills!$A:$A='Bill subs'!A132,IF(Tbills!$C:$C=91,Tbills!$M:$M,""),""))</f>
        <v>-0.42999999999999972</v>
      </c>
    </row>
    <row r="133" spans="1:8" x14ac:dyDescent="0.2">
      <c r="A133" s="45">
        <v>44034</v>
      </c>
      <c r="B133" s="64">
        <f>+SUMIF(Table13[Date_d],'Bill subs'!$A133,Table13[Amount Offered])</f>
        <v>35100</v>
      </c>
      <c r="C133" s="64">
        <f>+SUMIF(Table13[Date_d],'Bill subs'!$A133,Table13[Bid Received])</f>
        <v>64261</v>
      </c>
      <c r="D133" s="64">
        <f>+SUMIF(Table13[Date_d],'Bill subs'!$A133,Table13[Bid Accepted])</f>
        <v>35100</v>
      </c>
      <c r="E133" s="7">
        <f t="shared" si="4"/>
        <v>0</v>
      </c>
      <c r="F133" s="77">
        <f t="shared" si="5"/>
        <v>1</v>
      </c>
      <c r="G133" s="64">
        <f t="array" ref="G133">+SUM(IF(Tbills!$A:$A='Bill subs'!A133,IF(Tbills!$C:$C=364,Tbills!$M:$M,""),""))</f>
        <v>-4.9999999999999822E-2</v>
      </c>
      <c r="H133" s="64">
        <f t="array" ref="H133">+SUM(IF(Tbills!$A:$A='Bill subs'!A133,IF(Tbills!$C:$C=91,Tbills!$M:$M,""),""))</f>
        <v>-5.0000000000000711E-2</v>
      </c>
    </row>
    <row r="134" spans="1:8" x14ac:dyDescent="0.2">
      <c r="A134" s="46">
        <v>44041</v>
      </c>
      <c r="B134" s="64">
        <f>+SUMIF(Table13[Date_d],'Bill subs'!$A134,Table13[Amount Offered])</f>
        <v>39500</v>
      </c>
      <c r="C134" s="64">
        <f>+SUMIF(Table13[Date_d],'Bill subs'!$A134,Table13[Bid Received])</f>
        <v>46963</v>
      </c>
      <c r="D134" s="64">
        <f>+SUMIF(Table13[Date_d],'Bill subs'!$A134,Table13[Bid Accepted])</f>
        <v>11963</v>
      </c>
      <c r="E134" s="7">
        <f t="shared" si="4"/>
        <v>-27537</v>
      </c>
      <c r="F134" s="77">
        <f t="shared" si="5"/>
        <v>0.30286075949367086</v>
      </c>
      <c r="G134" s="64">
        <f t="array" ref="G134">+SUM(IF(Tbills!$A:$A='Bill subs'!A134,IF(Tbills!$C:$C=364,Tbills!$M:$M,""),""))</f>
        <v>0</v>
      </c>
      <c r="H134" s="64">
        <f t="array" ref="H134">+SUM(IF(Tbills!$A:$A='Bill subs'!A134,IF(Tbills!$C:$C=91,Tbills!$M:$M,""),""))</f>
        <v>-9.9999999999997868E-3</v>
      </c>
    </row>
    <row r="135" spans="1:8" x14ac:dyDescent="0.2">
      <c r="A135" s="45">
        <v>44048</v>
      </c>
      <c r="B135" s="64">
        <f>+SUMIF(Table13[Date_d],'Bill subs'!$A135,Table13[Amount Offered])</f>
        <v>35500</v>
      </c>
      <c r="C135" s="64">
        <f>+SUMIF(Table13[Date_d],'Bill subs'!$A135,Table13[Bid Received])</f>
        <v>59510</v>
      </c>
      <c r="D135" s="64">
        <f>+SUMIF(Table13[Date_d],'Bill subs'!$A135,Table13[Bid Accepted])</f>
        <v>24710</v>
      </c>
      <c r="E135" s="7">
        <f t="shared" si="4"/>
        <v>-10790</v>
      </c>
      <c r="F135" s="77">
        <f t="shared" si="5"/>
        <v>0.69605633802816902</v>
      </c>
      <c r="G135" s="64">
        <f t="array" ref="G135">+SUM(IF(Tbills!$A:$A='Bill subs'!A135,IF(Tbills!$C:$C=364,Tbills!$M:$M,""),""))</f>
        <v>8.0000000000000071E-2</v>
      </c>
      <c r="H135" s="64">
        <f t="array" ref="H135">+SUM(IF(Tbills!$A:$A='Bill subs'!A135,IF(Tbills!$C:$C=91,Tbills!$M:$M,""),""))</f>
        <v>8.0000000000000071E-2</v>
      </c>
    </row>
    <row r="136" spans="1:8" x14ac:dyDescent="0.2">
      <c r="A136" s="46">
        <v>44055</v>
      </c>
      <c r="B136" s="64">
        <f>+SUMIF(Table13[Date_d],'Bill subs'!$A136,Table13[Amount Offered])</f>
        <v>36500</v>
      </c>
      <c r="C136" s="64">
        <f>+SUMIF(Table13[Date_d],'Bill subs'!$A136,Table13[Bid Received])</f>
        <v>65482</v>
      </c>
      <c r="D136" s="64">
        <f>+SUMIF(Table13[Date_d],'Bill subs'!$A136,Table13[Bid Accepted])</f>
        <v>36500</v>
      </c>
      <c r="E136" s="7">
        <f t="shared" si="4"/>
        <v>0</v>
      </c>
      <c r="F136" s="77">
        <f t="shared" si="5"/>
        <v>1</v>
      </c>
      <c r="G136" s="64">
        <f t="array" ref="G136">+SUM(IF(Tbills!$A:$A='Bill subs'!A136,IF(Tbills!$C:$C=364,Tbills!$M:$M,""),""))</f>
        <v>-1.0000000000000675E-2</v>
      </c>
      <c r="H136" s="64">
        <f t="array" ref="H136">+SUM(IF(Tbills!$A:$A='Bill subs'!A136,IF(Tbills!$C:$C=91,Tbills!$M:$M,""),""))</f>
        <v>-1.9999999999999574E-2</v>
      </c>
    </row>
    <row r="137" spans="1:8" x14ac:dyDescent="0.2">
      <c r="A137" s="45">
        <v>44062</v>
      </c>
      <c r="B137" s="64">
        <f>+SUMIF(Table13[Date_d],'Bill subs'!$A137,Table13[Amount Offered])</f>
        <v>40000</v>
      </c>
      <c r="C137" s="64">
        <f>+SUMIF(Table13[Date_d],'Bill subs'!$A137,Table13[Bid Received])</f>
        <v>117277</v>
      </c>
      <c r="D137" s="64">
        <f>+SUMIF(Table13[Date_d],'Bill subs'!$A137,Table13[Bid Accepted])</f>
        <v>40000</v>
      </c>
      <c r="E137" s="7">
        <f t="shared" si="4"/>
        <v>0</v>
      </c>
      <c r="F137" s="77">
        <f t="shared" si="5"/>
        <v>1</v>
      </c>
      <c r="G137" s="64">
        <f t="array" ref="G137">+SUM(IF(Tbills!$A:$A='Bill subs'!A137,IF(Tbills!$C:$C=364,Tbills!$M:$M,""),""))</f>
        <v>-2.9999999999999361E-2</v>
      </c>
      <c r="H137" s="64">
        <f t="array" ref="H137">+SUM(IF(Tbills!$A:$A='Bill subs'!A137,IF(Tbills!$C:$C=91,Tbills!$M:$M,""),""))</f>
        <v>-6.0000000000000497E-2</v>
      </c>
    </row>
    <row r="138" spans="1:8" x14ac:dyDescent="0.2">
      <c r="A138" s="46">
        <v>44069</v>
      </c>
      <c r="B138" s="64">
        <f>+SUMIF(Table13[Date_d],'Bill subs'!$A138,Table13[Amount Offered])</f>
        <v>40000</v>
      </c>
      <c r="C138" s="64">
        <f>+SUMIF(Table13[Date_d],'Bill subs'!$A138,Table13[Bid Received])</f>
        <v>76605</v>
      </c>
      <c r="D138" s="64">
        <f>+SUMIF(Table13[Date_d],'Bill subs'!$A138,Table13[Bid Accepted])</f>
        <v>40000</v>
      </c>
      <c r="E138" s="7">
        <f t="shared" si="4"/>
        <v>0</v>
      </c>
      <c r="F138" s="77">
        <f t="shared" si="5"/>
        <v>1</v>
      </c>
      <c r="G138" s="64">
        <f t="array" ref="G138">+SUM(IF(Tbills!$A:$A='Bill subs'!A138,IF(Tbills!$C:$C=364,Tbills!$M:$M,""),""))</f>
        <v>-1.0000000000000675E-2</v>
      </c>
      <c r="H138" s="64">
        <f t="array" ref="H138">+SUM(IF(Tbills!$A:$A='Bill subs'!A138,IF(Tbills!$C:$C=91,Tbills!$M:$M,""),""))</f>
        <v>-3.0000000000000249E-2</v>
      </c>
    </row>
    <row r="139" spans="1:8" x14ac:dyDescent="0.2">
      <c r="A139" s="45">
        <v>44076</v>
      </c>
      <c r="B139" s="64">
        <f>+SUMIF(Table13[Date_d],'Bill subs'!$A139,Table13[Amount Offered])</f>
        <v>40000</v>
      </c>
      <c r="C139" s="64">
        <f>+SUMIF(Table13[Date_d],'Bill subs'!$A139,Table13[Bid Received])</f>
        <v>64711</v>
      </c>
      <c r="D139" s="64">
        <f>+SUMIF(Table13[Date_d],'Bill subs'!$A139,Table13[Bid Accepted])</f>
        <v>39761</v>
      </c>
      <c r="E139" s="7">
        <f t="shared" si="4"/>
        <v>-239</v>
      </c>
      <c r="F139" s="77">
        <f t="shared" si="5"/>
        <v>0.99402500000000005</v>
      </c>
      <c r="G139" s="64">
        <f t="array" ref="G139">+SUM(IF(Tbills!$A:$A='Bill subs'!A139,IF(Tbills!$C:$C=364,Tbills!$M:$M,""),""))</f>
        <v>0</v>
      </c>
      <c r="H139" s="64">
        <f t="array" ref="H139">+SUM(IF(Tbills!$A:$A='Bill subs'!A139,IF(Tbills!$C:$C=91,Tbills!$M:$M,""),""))</f>
        <v>-4.0000000000000036E-2</v>
      </c>
    </row>
    <row r="140" spans="1:8" x14ac:dyDescent="0.2">
      <c r="A140" s="46">
        <v>44083</v>
      </c>
      <c r="B140" s="64">
        <f>+SUMIF(Table13[Date_d],'Bill subs'!$A140,Table13[Amount Offered])</f>
        <v>40000</v>
      </c>
      <c r="C140" s="64">
        <f>+SUMIF(Table13[Date_d],'Bill subs'!$A140,Table13[Bid Received])</f>
        <v>67081</v>
      </c>
      <c r="D140" s="64">
        <f>+SUMIF(Table13[Date_d],'Bill subs'!$A140,Table13[Bid Accepted])</f>
        <v>40000</v>
      </c>
      <c r="E140" s="7">
        <f t="shared" si="4"/>
        <v>0</v>
      </c>
      <c r="F140" s="77">
        <f t="shared" si="5"/>
        <v>1</v>
      </c>
      <c r="G140" s="64">
        <f t="array" ref="G140">+SUM(IF(Tbills!$A:$A='Bill subs'!A140,IF(Tbills!$C:$C=364,Tbills!$M:$M,""),""))</f>
        <v>-9.9999999999997868E-3</v>
      </c>
      <c r="H140" s="64">
        <f t="array" ref="H140">+SUM(IF(Tbills!$A:$A='Bill subs'!A140,IF(Tbills!$C:$C=91,Tbills!$M:$M,""),""))</f>
        <v>0</v>
      </c>
    </row>
    <row r="141" spans="1:8" x14ac:dyDescent="0.2">
      <c r="A141" s="45">
        <v>44090</v>
      </c>
      <c r="B141" s="64">
        <f>+SUMIF(Table13[Date_d],'Bill subs'!$A141,Table13[Amount Offered])</f>
        <v>40000</v>
      </c>
      <c r="C141" s="64">
        <f>+SUMIF(Table13[Date_d],'Bill subs'!$A141,Table13[Bid Received])</f>
        <v>58627</v>
      </c>
      <c r="D141" s="64">
        <f>+SUMIF(Table13[Date_d],'Bill subs'!$A141,Table13[Bid Accepted])</f>
        <v>28477</v>
      </c>
      <c r="E141" s="7">
        <f t="shared" si="4"/>
        <v>-11523</v>
      </c>
      <c r="F141" s="77">
        <f t="shared" si="5"/>
        <v>0.71192500000000003</v>
      </c>
      <c r="G141" s="64">
        <f t="array" ref="G141">+SUM(IF(Tbills!$A:$A='Bill subs'!A141,IF(Tbills!$C:$C=364,Tbills!$M:$M,""),""))</f>
        <v>0</v>
      </c>
      <c r="H141" s="64">
        <f t="array" ref="H141">+SUM(IF(Tbills!$A:$A='Bill subs'!A141,IF(Tbills!$C:$C=91,Tbills!$M:$M,""),""))</f>
        <v>-9.9999999999997868E-3</v>
      </c>
    </row>
    <row r="142" spans="1:8" x14ac:dyDescent="0.2">
      <c r="A142" s="46">
        <v>44097</v>
      </c>
      <c r="B142" s="64">
        <f>+SUMIF(Table13[Date_d],'Bill subs'!$A142,Table13[Amount Offered])</f>
        <v>40000</v>
      </c>
      <c r="C142" s="64">
        <f>+SUMIF(Table13[Date_d],'Bill subs'!$A142,Table13[Bid Received])</f>
        <v>52412</v>
      </c>
      <c r="D142" s="64">
        <f>+SUMIF(Table13[Date_d],'Bill subs'!$A142,Table13[Bid Accepted])</f>
        <v>19162</v>
      </c>
      <c r="E142" s="7">
        <f t="shared" si="4"/>
        <v>-20838</v>
      </c>
      <c r="F142" s="77">
        <f t="shared" si="5"/>
        <v>0.47904999999999998</v>
      </c>
      <c r="G142" s="64">
        <f t="array" ref="G142">+SUM(IF(Tbills!$A:$A='Bill subs'!A142,IF(Tbills!$C:$C=364,Tbills!$M:$M,""),""))</f>
        <v>0</v>
      </c>
      <c r="H142" s="64">
        <f t="array" ref="H142">+SUM(IF(Tbills!$A:$A='Bill subs'!A142,IF(Tbills!$C:$C=91,Tbills!$M:$M,""),""))</f>
        <v>0</v>
      </c>
    </row>
    <row r="143" spans="1:8" x14ac:dyDescent="0.2">
      <c r="A143" s="45">
        <v>44103</v>
      </c>
      <c r="B143" s="64">
        <f>+SUMIF(Table13[Date_d],'Bill subs'!$A143,Table13[Amount Offered])</f>
        <v>40000</v>
      </c>
      <c r="C143" s="64">
        <f>+SUMIF(Table13[Date_d],'Bill subs'!$A143,Table13[Bid Received])</f>
        <v>40795</v>
      </c>
      <c r="D143" s="64">
        <f>+SUMIF(Table13[Date_d],'Bill subs'!$A143,Table13[Bid Accepted])</f>
        <v>895</v>
      </c>
      <c r="E143" s="7">
        <f t="shared" si="4"/>
        <v>-39105</v>
      </c>
      <c r="F143" s="77">
        <f t="shared" si="5"/>
        <v>2.2374999999999999E-2</v>
      </c>
      <c r="G143" s="64">
        <f t="array" ref="G143">+SUM(IF(Tbills!$A:$A='Bill subs'!A143,IF(Tbills!$C:$C=364,Tbills!$M:$M,""),""))</f>
        <v>9.9999999999997868E-3</v>
      </c>
      <c r="H143" s="64">
        <f t="array" ref="H143">+SUM(IF(Tbills!$A:$A='Bill subs'!A143,IF(Tbills!$C:$C=91,Tbills!$M:$M,""),""))</f>
        <v>0</v>
      </c>
    </row>
    <row r="144" spans="1:8" x14ac:dyDescent="0.2">
      <c r="A144" s="46">
        <v>44111</v>
      </c>
      <c r="B144" s="64">
        <f>+SUMIF(Table13[Date_d],'Bill subs'!$A144,Table13[Amount Offered])</f>
        <v>40000</v>
      </c>
      <c r="C144" s="64">
        <f>+SUMIF(Table13[Date_d],'Bill subs'!$A144,Table13[Bid Received])</f>
        <v>45522</v>
      </c>
      <c r="D144" s="64">
        <f>+SUMIF(Table13[Date_d],'Bill subs'!$A144,Table13[Bid Accepted])</f>
        <v>14922</v>
      </c>
      <c r="E144" s="7">
        <f t="shared" si="4"/>
        <v>-25078</v>
      </c>
      <c r="F144" s="77">
        <f t="shared" si="5"/>
        <v>0.37304999999999999</v>
      </c>
      <c r="G144" s="64">
        <f t="array" ref="G144">+SUM(IF(Tbills!$A:$A='Bill subs'!A144,IF(Tbills!$C:$C=364,Tbills!$M:$M,""),""))</f>
        <v>0.10000000000000053</v>
      </c>
      <c r="H144" s="64">
        <f t="array" ref="H144">+SUM(IF(Tbills!$A:$A='Bill subs'!A144,IF(Tbills!$C:$C=91,Tbills!$M:$M,""),""))</f>
        <v>0</v>
      </c>
    </row>
    <row r="145" spans="1:8" x14ac:dyDescent="0.2">
      <c r="A145" s="45">
        <v>44118</v>
      </c>
      <c r="B145" s="64">
        <f>+SUMIF(Table13[Date_d],'Bill subs'!$A145,Table13[Amount Offered])</f>
        <v>40000</v>
      </c>
      <c r="C145" s="64">
        <f>+SUMIF(Table13[Date_d],'Bill subs'!$A145,Table13[Bid Received])</f>
        <v>79244</v>
      </c>
      <c r="D145" s="64">
        <f>+SUMIF(Table13[Date_d],'Bill subs'!$A145,Table13[Bid Accepted])</f>
        <v>40000</v>
      </c>
      <c r="E145" s="7">
        <f t="shared" si="4"/>
        <v>0</v>
      </c>
      <c r="F145" s="77">
        <f t="shared" si="5"/>
        <v>1</v>
      </c>
      <c r="G145" s="64">
        <f t="array" ref="G145">+SUM(IF(Tbills!$A:$A='Bill subs'!A145,IF(Tbills!$C:$C=364,Tbills!$M:$M,""),""))</f>
        <v>0</v>
      </c>
      <c r="H145" s="64">
        <f t="array" ref="H145">+SUM(IF(Tbills!$A:$A='Bill subs'!A145,IF(Tbills!$C:$C=91,Tbills!$M:$M,""),""))</f>
        <v>1.9999999999999574E-2</v>
      </c>
    </row>
    <row r="146" spans="1:8" x14ac:dyDescent="0.2">
      <c r="A146" s="46">
        <v>44125</v>
      </c>
      <c r="B146" s="64">
        <f>+SUMIF(Table13[Date_d],'Bill subs'!$A146,Table13[Amount Offered])</f>
        <v>40000</v>
      </c>
      <c r="C146" s="64">
        <f>+SUMIF(Table13[Date_d],'Bill subs'!$A146,Table13[Bid Received])</f>
        <v>82889</v>
      </c>
      <c r="D146" s="64">
        <f>+SUMIF(Table13[Date_d],'Bill subs'!$A146,Table13[Bid Accepted])</f>
        <v>40000</v>
      </c>
      <c r="E146" s="7">
        <f t="shared" si="4"/>
        <v>0</v>
      </c>
      <c r="F146" s="77">
        <f t="shared" si="5"/>
        <v>1</v>
      </c>
      <c r="G146" s="64">
        <f t="array" ref="G146">+SUM(IF(Tbills!$A:$A='Bill subs'!A146,IF(Tbills!$C:$C=364,Tbills!$M:$M,""),""))</f>
        <v>-0.86000000000000032</v>
      </c>
      <c r="H146" s="64">
        <f t="array" ref="H146">+SUM(IF(Tbills!$A:$A='Bill subs'!A146,IF(Tbills!$C:$C=91,Tbills!$M:$M,""),""))</f>
        <v>0</v>
      </c>
    </row>
    <row r="147" spans="1:8" x14ac:dyDescent="0.2">
      <c r="A147" s="45">
        <v>44131</v>
      </c>
      <c r="B147" s="64">
        <f>+SUMIF(Table13[Date_d],'Bill subs'!$A147,Table13[Amount Offered])</f>
        <v>40000</v>
      </c>
      <c r="C147" s="64">
        <f>+SUMIF(Table13[Date_d],'Bill subs'!$A147,Table13[Bid Received])</f>
        <v>61037</v>
      </c>
      <c r="D147" s="64">
        <f>+SUMIF(Table13[Date_d],'Bill subs'!$A147,Table13[Bid Accepted])</f>
        <v>32492</v>
      </c>
      <c r="E147" s="7">
        <f t="shared" si="4"/>
        <v>-7508</v>
      </c>
      <c r="F147" s="77">
        <f t="shared" si="5"/>
        <v>0.81230000000000002</v>
      </c>
      <c r="G147" s="64">
        <f t="array" ref="G147">+SUM(IF(Tbills!$A:$A='Bill subs'!A147,IF(Tbills!$C:$C=364,Tbills!$M:$M,""),""))</f>
        <v>0.83000000000000007</v>
      </c>
      <c r="H147" s="64">
        <f t="array" ref="H147">+SUM(IF(Tbills!$A:$A='Bill subs'!A147,IF(Tbills!$C:$C=91,Tbills!$M:$M,""),""))</f>
        <v>0</v>
      </c>
    </row>
    <row r="148" spans="1:8" x14ac:dyDescent="0.2">
      <c r="A148" s="46">
        <v>44139</v>
      </c>
      <c r="B148" s="64">
        <f>+SUMIF(Table13[Date_d],'Bill subs'!$A148,Table13[Amount Offered])</f>
        <v>40000</v>
      </c>
      <c r="C148" s="64">
        <f>+SUMIF(Table13[Date_d],'Bill subs'!$A148,Table13[Bid Received])</f>
        <v>52316</v>
      </c>
      <c r="D148" s="64">
        <f>+SUMIF(Table13[Date_d],'Bill subs'!$A148,Table13[Bid Accepted])</f>
        <v>19011</v>
      </c>
      <c r="E148" s="7">
        <f t="shared" si="4"/>
        <v>-20989</v>
      </c>
      <c r="F148" s="77">
        <f t="shared" si="5"/>
        <v>0.475275</v>
      </c>
      <c r="G148" s="64">
        <f t="array" ref="G148">+SUM(IF(Tbills!$A:$A='Bill subs'!A148,IF(Tbills!$C:$C=364,Tbills!$M:$M,""),""))</f>
        <v>0</v>
      </c>
      <c r="H148" s="64">
        <f t="array" ref="H148">+SUM(IF(Tbills!$A:$A='Bill subs'!A148,IF(Tbills!$C:$C=91,Tbills!$M:$M,""),""))</f>
        <v>0</v>
      </c>
    </row>
    <row r="149" spans="1:8" x14ac:dyDescent="0.2">
      <c r="A149" s="45">
        <v>44146</v>
      </c>
      <c r="B149" s="64">
        <f>+SUMIF(Table13[Date_d],'Bill subs'!$A149,Table13[Amount Offered])</f>
        <v>40000</v>
      </c>
      <c r="C149" s="64">
        <f>+SUMIF(Table13[Date_d],'Bill subs'!$A149,Table13[Bid Received])</f>
        <v>44670</v>
      </c>
      <c r="D149" s="64">
        <f>+SUMIF(Table13[Date_d],'Bill subs'!$A149,Table13[Bid Accepted])</f>
        <v>9190</v>
      </c>
      <c r="E149" s="7">
        <f t="shared" si="4"/>
        <v>-30810</v>
      </c>
      <c r="F149" s="77">
        <f t="shared" si="5"/>
        <v>0.22975000000000001</v>
      </c>
      <c r="G149" s="64">
        <f t="array" ref="G149">+SUM(IF(Tbills!$A:$A='Bill subs'!A149,IF(Tbills!$C:$C=364,Tbills!$M:$M,""),""))</f>
        <v>9.9999999999997868E-3</v>
      </c>
      <c r="H149" s="64">
        <f t="array" ref="H149">+SUM(IF(Tbills!$A:$A='Bill subs'!A149,IF(Tbills!$C:$C=91,Tbills!$M:$M,""),""))</f>
        <v>2.9999999999999361E-2</v>
      </c>
    </row>
    <row r="150" spans="1:8" x14ac:dyDescent="0.2">
      <c r="A150" s="46">
        <v>44153</v>
      </c>
      <c r="B150" s="64">
        <f>+SUMIF(Table13[Date_d],'Bill subs'!$A150,Table13[Amount Offered])</f>
        <v>40000</v>
      </c>
      <c r="C150" s="64">
        <f>+SUMIF(Table13[Date_d],'Bill subs'!$A150,Table13[Bid Received])</f>
        <v>42805</v>
      </c>
      <c r="D150" s="64">
        <f>+SUMIF(Table13[Date_d],'Bill subs'!$A150,Table13[Bid Accepted])</f>
        <v>7650</v>
      </c>
      <c r="E150" s="7">
        <f t="shared" si="4"/>
        <v>-32350</v>
      </c>
      <c r="F150" s="77">
        <f t="shared" si="5"/>
        <v>0.19125</v>
      </c>
      <c r="G150" s="64">
        <f t="array" ref="G150">+SUM(IF(Tbills!$A:$A='Bill subs'!A150,IF(Tbills!$C:$C=364,Tbills!$M:$M,""),""))</f>
        <v>1.0000000000000675E-2</v>
      </c>
      <c r="H150" s="64">
        <f t="array" ref="H150">+SUM(IF(Tbills!$A:$A='Bill subs'!A150,IF(Tbills!$C:$C=91,Tbills!$M:$M,""),""))</f>
        <v>1.0000000000000675E-2</v>
      </c>
    </row>
    <row r="151" spans="1:8" x14ac:dyDescent="0.2">
      <c r="A151" s="45">
        <v>44160</v>
      </c>
      <c r="B151" s="64">
        <f>+SUMIF(Table13[Date_d],'Bill subs'!$A151,Table13[Amount Offered])</f>
        <v>39300</v>
      </c>
      <c r="C151" s="64">
        <f>+SUMIF(Table13[Date_d],'Bill subs'!$A151,Table13[Bid Received])</f>
        <v>65469</v>
      </c>
      <c r="D151" s="64">
        <f>+SUMIF(Table13[Date_d],'Bill subs'!$A151,Table13[Bid Accepted])</f>
        <v>37436</v>
      </c>
      <c r="E151" s="7">
        <f t="shared" si="4"/>
        <v>-1864</v>
      </c>
      <c r="F151" s="77">
        <f t="shared" si="5"/>
        <v>0.95256997455470738</v>
      </c>
      <c r="G151" s="64">
        <f t="array" ref="G151">+SUM(IF(Tbills!$A:$A='Bill subs'!A151,IF(Tbills!$C:$C=364,Tbills!$M:$M,""),""))</f>
        <v>1.9999999999999574E-2</v>
      </c>
      <c r="H151" s="64">
        <f t="array" ref="H151">+SUM(IF(Tbills!$A:$A='Bill subs'!A151,IF(Tbills!$C:$C=91,Tbills!$M:$M,""),""))</f>
        <v>2.9999999999999361E-2</v>
      </c>
    </row>
    <row r="152" spans="1:8" x14ac:dyDescent="0.2">
      <c r="A152" s="46">
        <v>44167</v>
      </c>
      <c r="B152" s="64">
        <f>+SUMIF(Table13[Date_d],'Bill subs'!$A152,Table13[Amount Offered])</f>
        <v>40000</v>
      </c>
      <c r="C152" s="64">
        <f>+SUMIF(Table13[Date_d],'Bill subs'!$A152,Table13[Bid Received])</f>
        <v>62267</v>
      </c>
      <c r="D152" s="64">
        <f>+SUMIF(Table13[Date_d],'Bill subs'!$A152,Table13[Bid Accepted])</f>
        <v>34317</v>
      </c>
      <c r="E152" s="7">
        <f t="shared" si="4"/>
        <v>-5683</v>
      </c>
      <c r="F152" s="77">
        <f t="shared" si="5"/>
        <v>0.85792500000000005</v>
      </c>
      <c r="G152" s="64">
        <f t="array" ref="G152">+SUM(IF(Tbills!$A:$A='Bill subs'!A152,IF(Tbills!$C:$C=364,Tbills!$M:$M,""),""))</f>
        <v>0</v>
      </c>
      <c r="H152" s="64">
        <f t="array" ref="H152">+SUM(IF(Tbills!$A:$A='Bill subs'!A152,IF(Tbills!$C:$C=91,Tbills!$M:$M,""),""))</f>
        <v>1.0000000000000675E-2</v>
      </c>
    </row>
    <row r="153" spans="1:8" x14ac:dyDescent="0.2">
      <c r="A153" s="45">
        <v>44174</v>
      </c>
      <c r="B153" s="64">
        <f>+SUMIF(Table13[Date_d],'Bill subs'!$A153,Table13[Amount Offered])</f>
        <v>40000</v>
      </c>
      <c r="C153" s="64">
        <f>+SUMIF(Table13[Date_d],'Bill subs'!$A153,Table13[Bid Received])</f>
        <v>54042</v>
      </c>
      <c r="D153" s="64">
        <f>+SUMIF(Table13[Date_d],'Bill subs'!$A153,Table13[Bid Accepted])</f>
        <v>25892</v>
      </c>
      <c r="E153" s="7">
        <f t="shared" si="4"/>
        <v>-14108</v>
      </c>
      <c r="F153" s="77">
        <f t="shared" si="5"/>
        <v>0.64729999999999999</v>
      </c>
      <c r="G153" s="64">
        <f t="array" ref="G153">+SUM(IF(Tbills!$A:$A='Bill subs'!A153,IF(Tbills!$C:$C=364,Tbills!$M:$M,""),""))</f>
        <v>0</v>
      </c>
      <c r="H153" s="64">
        <f t="array" ref="H153">+SUM(IF(Tbills!$A:$A='Bill subs'!A153,IF(Tbills!$C:$C=91,Tbills!$M:$M,""),""))</f>
        <v>1.9999999999999574E-2</v>
      </c>
    </row>
    <row r="154" spans="1:8" x14ac:dyDescent="0.2">
      <c r="A154" s="46">
        <v>44181</v>
      </c>
      <c r="B154" s="64">
        <f>+SUMIF(Table13[Date_d],'Bill subs'!$A154,Table13[Amount Offered])</f>
        <v>40000</v>
      </c>
      <c r="C154" s="64">
        <f>+SUMIF(Table13[Date_d],'Bill subs'!$A154,Table13[Bid Received])</f>
        <v>55197</v>
      </c>
      <c r="D154" s="64">
        <f>+SUMIF(Table13[Date_d],'Bill subs'!$A154,Table13[Bid Accepted])</f>
        <v>26842</v>
      </c>
      <c r="E154" s="7">
        <f t="shared" si="4"/>
        <v>-13158</v>
      </c>
      <c r="F154" s="77">
        <f t="shared" si="5"/>
        <v>0.67105000000000004</v>
      </c>
      <c r="G154" s="64">
        <f t="array" ref="G154">+SUM(IF(Tbills!$A:$A='Bill subs'!A154,IF(Tbills!$C:$C=364,Tbills!$M:$M,""),""))</f>
        <v>9.9999999999997868E-3</v>
      </c>
      <c r="H154" s="64">
        <f t="array" ref="H154">+SUM(IF(Tbills!$A:$A='Bill subs'!A154,IF(Tbills!$C:$C=91,Tbills!$M:$M,""),""))</f>
        <v>0</v>
      </c>
    </row>
    <row r="155" spans="1:8" x14ac:dyDescent="0.2">
      <c r="A155" s="45">
        <v>44187</v>
      </c>
      <c r="B155" s="64">
        <f>+SUMIF(Table13[Date_d],'Bill subs'!$A155,Table13[Amount Offered])</f>
        <v>40000</v>
      </c>
      <c r="C155" s="64">
        <f>+SUMIF(Table13[Date_d],'Bill subs'!$A155,Table13[Bid Received])</f>
        <v>56173</v>
      </c>
      <c r="D155" s="64">
        <f>+SUMIF(Table13[Date_d],'Bill subs'!$A155,Table13[Bid Accepted])</f>
        <v>20718</v>
      </c>
      <c r="E155" s="7">
        <f t="shared" si="4"/>
        <v>-19282</v>
      </c>
      <c r="F155" s="77">
        <f t="shared" si="5"/>
        <v>0.51795000000000002</v>
      </c>
      <c r="G155" s="64">
        <f t="array" ref="G155">+SUM(IF(Tbills!$A:$A='Bill subs'!A155,IF(Tbills!$C:$C=364,Tbills!$M:$M,""),""))</f>
        <v>2.0000000000000462E-2</v>
      </c>
      <c r="H155" s="64">
        <f t="array" ref="H155">+SUM(IF(Tbills!$A:$A='Bill subs'!A155,IF(Tbills!$C:$C=91,Tbills!$M:$M,""),""))</f>
        <v>0</v>
      </c>
    </row>
    <row r="156" spans="1:8" x14ac:dyDescent="0.2">
      <c r="A156" s="46">
        <v>44195</v>
      </c>
      <c r="B156" s="64">
        <f>+SUMIF(Table13[Date_d],'Bill subs'!$A156,Table13[Amount Offered])</f>
        <v>40000</v>
      </c>
      <c r="C156" s="64">
        <f>+SUMIF(Table13[Date_d],'Bill subs'!$A156,Table13[Bid Received])</f>
        <v>53324</v>
      </c>
      <c r="D156" s="64">
        <f>+SUMIF(Table13[Date_d],'Bill subs'!$A156,Table13[Bid Accepted])</f>
        <v>18769</v>
      </c>
      <c r="E156" s="7">
        <f t="shared" si="4"/>
        <v>-21231</v>
      </c>
      <c r="F156" s="77">
        <f t="shared" si="5"/>
        <v>0.469225</v>
      </c>
      <c r="G156" s="64">
        <f t="array" ref="G156">+SUM(IF(Tbills!$A:$A='Bill subs'!A156,IF(Tbills!$C:$C=364,Tbills!$M:$M,""),""))</f>
        <v>1.9999999999999574E-2</v>
      </c>
      <c r="H156" s="64">
        <f t="array" ref="H156">+SUM(IF(Tbills!$A:$A='Bill subs'!A156,IF(Tbills!$C:$C=91,Tbills!$M:$M,""),""))</f>
        <v>2.0000000000000462E-2</v>
      </c>
    </row>
    <row r="157" spans="1:8" x14ac:dyDescent="0.2">
      <c r="A157" s="45">
        <v>44202</v>
      </c>
      <c r="B157" s="64">
        <f>+SUMIF(Table13[Date_d],'Bill subs'!$A157,Table13[Amount Offered])</f>
        <v>40000</v>
      </c>
      <c r="C157" s="64">
        <f>+SUMIF(Table13[Date_d],'Bill subs'!$A157,Table13[Bid Received])</f>
        <v>86324</v>
      </c>
      <c r="D157" s="64">
        <f>+SUMIF(Table13[Date_d],'Bill subs'!$A157,Table13[Bid Accepted])</f>
        <v>40000</v>
      </c>
      <c r="E157" s="7">
        <f t="shared" si="4"/>
        <v>0</v>
      </c>
      <c r="F157" s="77">
        <f t="shared" si="5"/>
        <v>1</v>
      </c>
      <c r="G157" s="64">
        <f t="array" ref="G157">+SUM(IF(Tbills!$A:$A='Bill subs'!A157,IF(Tbills!$C:$C=364,Tbills!$M:$M,""),""))</f>
        <v>0</v>
      </c>
      <c r="H157" s="64">
        <f t="array" ref="H157">+SUM(IF(Tbills!$A:$A='Bill subs'!A157,IF(Tbills!$C:$C=91,Tbills!$M:$M,""),""))</f>
        <v>1.9999999999999574E-2</v>
      </c>
    </row>
    <row r="158" spans="1:8" x14ac:dyDescent="0.2">
      <c r="A158" s="46">
        <v>44208</v>
      </c>
      <c r="B158" s="64">
        <f>+SUMIF(Table13[Date_d],'Bill subs'!$A158,Table13[Amount Offered])</f>
        <v>40000</v>
      </c>
      <c r="C158" s="64">
        <f>+SUMIF(Table13[Date_d],'Bill subs'!$A158,Table13[Bid Received])</f>
        <v>106996</v>
      </c>
      <c r="D158" s="64">
        <f>+SUMIF(Table13[Date_d],'Bill subs'!$A158,Table13[Bid Accepted])</f>
        <v>40000</v>
      </c>
      <c r="E158" s="7">
        <f t="shared" si="4"/>
        <v>0</v>
      </c>
      <c r="F158" s="77">
        <f t="shared" si="5"/>
        <v>1</v>
      </c>
      <c r="G158" s="64">
        <f t="array" ref="G158">+SUM(IF(Tbills!$A:$A='Bill subs'!A158,IF(Tbills!$C:$C=364,Tbills!$M:$M,""),""))</f>
        <v>-3.0000000000000249E-2</v>
      </c>
      <c r="H158" s="64">
        <f t="array" ref="H158">+SUM(IF(Tbills!$A:$A='Bill subs'!A158,IF(Tbills!$C:$C=91,Tbills!$M:$M,""),""))</f>
        <v>-9.9999999999997868E-3</v>
      </c>
    </row>
    <row r="159" spans="1:8" x14ac:dyDescent="0.2">
      <c r="A159" s="45">
        <v>44216</v>
      </c>
      <c r="B159" s="64">
        <f>+SUMIF(Table13[Date_d],'Bill subs'!$A159,Table13[Amount Offered])</f>
        <v>40000</v>
      </c>
      <c r="C159" s="64">
        <f>+SUMIF(Table13[Date_d],'Bill subs'!$A159,Table13[Bid Received])</f>
        <v>87233</v>
      </c>
      <c r="D159" s="64">
        <f>+SUMIF(Table13[Date_d],'Bill subs'!$A159,Table13[Bid Accepted])</f>
        <v>40000</v>
      </c>
      <c r="E159" s="7">
        <f t="shared" si="4"/>
        <v>0</v>
      </c>
      <c r="F159" s="77">
        <f t="shared" si="5"/>
        <v>1</v>
      </c>
      <c r="G159" s="64">
        <f t="array" ref="G159">+SUM(IF(Tbills!$A:$A='Bill subs'!A159,IF(Tbills!$C:$C=364,Tbills!$M:$M,""),""))</f>
        <v>-2.9999999999999361E-2</v>
      </c>
      <c r="H159" s="64">
        <f t="array" ref="H159">+SUM(IF(Tbills!$A:$A='Bill subs'!A159,IF(Tbills!$C:$C=91,Tbills!$M:$M,""),""))</f>
        <v>0</v>
      </c>
    </row>
    <row r="160" spans="1:8" x14ac:dyDescent="0.2">
      <c r="A160" s="46">
        <v>44222</v>
      </c>
      <c r="B160" s="64">
        <f>+SUMIF(Table13[Date_d],'Bill subs'!$A160,Table13[Amount Offered])</f>
        <v>40000</v>
      </c>
      <c r="C160" s="64">
        <f>+SUMIF(Table13[Date_d],'Bill subs'!$A160,Table13[Bid Received])</f>
        <v>53294</v>
      </c>
      <c r="D160" s="64">
        <f>+SUMIF(Table13[Date_d],'Bill subs'!$A160,Table13[Bid Accepted])</f>
        <v>25004</v>
      </c>
      <c r="E160" s="7">
        <f t="shared" si="4"/>
        <v>-14996</v>
      </c>
      <c r="F160" s="77">
        <f t="shared" si="5"/>
        <v>0.62509999999999999</v>
      </c>
      <c r="G160" s="64">
        <f t="array" ref="G160">+SUM(IF(Tbills!$A:$A='Bill subs'!A160,IF(Tbills!$C:$C=364,Tbills!$M:$M,""),""))</f>
        <v>-9.9999999999997868E-3</v>
      </c>
      <c r="H160" s="64">
        <f t="array" ref="H160">+SUM(IF(Tbills!$A:$A='Bill subs'!A160,IF(Tbills!$C:$C=91,Tbills!$M:$M,""),""))</f>
        <v>-9.9999999999997868E-3</v>
      </c>
    </row>
    <row r="161" spans="1:8" x14ac:dyDescent="0.2">
      <c r="A161" s="45">
        <v>44229</v>
      </c>
      <c r="B161" s="64">
        <f>+SUMIF(Table13[Date_d],'Bill subs'!$A161,Table13[Amount Offered])</f>
        <v>40000</v>
      </c>
      <c r="C161" s="64">
        <f>+SUMIF(Table13[Date_d],'Bill subs'!$A161,Table13[Bid Received])</f>
        <v>54085</v>
      </c>
      <c r="D161" s="64">
        <f>+SUMIF(Table13[Date_d],'Bill subs'!$A161,Table13[Bid Accepted])</f>
        <v>22745</v>
      </c>
      <c r="E161" s="7">
        <f t="shared" si="4"/>
        <v>-17255</v>
      </c>
      <c r="F161" s="77">
        <f t="shared" si="5"/>
        <v>0.56862500000000005</v>
      </c>
      <c r="G161" s="64">
        <f t="array" ref="G161">+SUM(IF(Tbills!$A:$A='Bill subs'!A161,IF(Tbills!$C:$C=364,Tbills!$M:$M,""),""))</f>
        <v>3.9999999999999147E-2</v>
      </c>
      <c r="H161" s="64">
        <f t="array" ref="H161">+SUM(IF(Tbills!$A:$A='Bill subs'!A161,IF(Tbills!$C:$C=91,Tbills!$M:$M,""),""))</f>
        <v>9.9999999999997868E-3</v>
      </c>
    </row>
    <row r="162" spans="1:8" x14ac:dyDescent="0.2">
      <c r="A162" s="45">
        <v>44233</v>
      </c>
      <c r="B162" s="64">
        <f>+SUMIF(Table13[Date_d],'Bill subs'!$A162,Table13[Amount Offered])</f>
        <v>51000</v>
      </c>
      <c r="C162" s="64">
        <f>+SUMIF(Table13[Date_d],'Bill subs'!$A162,Table13[Bid Received])</f>
        <v>70851</v>
      </c>
      <c r="D162" s="64">
        <f>+SUMIF(Table13[Date_d],'Bill subs'!$A162,Table13[Bid Accepted])</f>
        <v>30723</v>
      </c>
      <c r="E162" s="7">
        <f t="shared" si="4"/>
        <v>-20277</v>
      </c>
      <c r="F162" s="77">
        <f t="shared" si="5"/>
        <v>0.60241176470588231</v>
      </c>
      <c r="G162" s="64">
        <f t="array" ref="G162">+SUM(IF(Tbills!$A:$A='Bill subs'!A162,IF(Tbills!$C:$C=364,Tbills!$M:$M,""),""))</f>
        <v>3.0000000000000249E-2</v>
      </c>
      <c r="H162" s="64">
        <f t="array" ref="H162">+SUM(IF(Tbills!$A:$A='Bill subs'!A162,IF(Tbills!$C:$C=91,Tbills!$M:$M,""),""))</f>
        <v>2.0000000000000462E-2</v>
      </c>
    </row>
    <row r="163" spans="1:8" x14ac:dyDescent="0.2">
      <c r="A163" s="46">
        <v>44237</v>
      </c>
      <c r="B163" s="64">
        <f>+SUMIF(Table13[Date_d],'Bill subs'!$A163,Table13[Amount Offered])</f>
        <v>40000</v>
      </c>
      <c r="C163" s="64">
        <f>+SUMIF(Table13[Date_d],'Bill subs'!$A163,Table13[Bid Received])</f>
        <v>74450</v>
      </c>
      <c r="D163" s="64">
        <f>+SUMIF(Table13[Date_d],'Bill subs'!$A163,Table13[Bid Accepted])</f>
        <v>13919</v>
      </c>
      <c r="E163" s="7">
        <f t="shared" si="4"/>
        <v>-26081</v>
      </c>
      <c r="F163" s="77">
        <f t="shared" si="5"/>
        <v>0.34797499999999998</v>
      </c>
      <c r="G163" s="64">
        <f t="array" ref="G163">+SUM(IF(Tbills!$A:$A='Bill subs'!A163,IF(Tbills!$C:$C=364,Tbills!$M:$M,""),""))</f>
        <v>2.0000000000000462E-2</v>
      </c>
      <c r="H163" s="64">
        <f t="array" ref="H163">+SUM(IF(Tbills!$A:$A='Bill subs'!A163,IF(Tbills!$C:$C=91,Tbills!$M:$M,""),""))</f>
        <v>1.9999999999999574E-2</v>
      </c>
    </row>
    <row r="164" spans="1:8" x14ac:dyDescent="0.2">
      <c r="A164" s="45">
        <v>44244</v>
      </c>
      <c r="B164" s="64">
        <f>+SUMIF(Table13[Date_d],'Bill subs'!$A164,Table13[Amount Offered])</f>
        <v>38000</v>
      </c>
      <c r="C164" s="64">
        <f>+SUMIF(Table13[Date_d],'Bill subs'!$A164,Table13[Bid Received])</f>
        <v>54999</v>
      </c>
      <c r="D164" s="64">
        <f>+SUMIF(Table13[Date_d],'Bill subs'!$A164,Table13[Bid Accepted])</f>
        <v>16704</v>
      </c>
      <c r="E164" s="7">
        <f t="shared" si="4"/>
        <v>-21296</v>
      </c>
      <c r="F164" s="77">
        <f t="shared" si="5"/>
        <v>0.43957894736842107</v>
      </c>
      <c r="G164" s="64">
        <f t="array" ref="G164">+SUM(IF(Tbills!$A:$A='Bill subs'!A164,IF(Tbills!$C:$C=364,Tbills!$M:$M,""),""))</f>
        <v>4.9999999999999822E-2</v>
      </c>
      <c r="H164" s="64">
        <f t="array" ref="H164">+SUM(IF(Tbills!$A:$A='Bill subs'!A164,IF(Tbills!$C:$C=91,Tbills!$M:$M,""),""))</f>
        <v>0.10000000000000053</v>
      </c>
    </row>
    <row r="165" spans="1:8" x14ac:dyDescent="0.2">
      <c r="A165" s="46">
        <v>44250</v>
      </c>
      <c r="B165" s="64">
        <f>+SUMIF(Table13[Date_d],'Bill subs'!$A165,Table13[Amount Offered])</f>
        <v>42500</v>
      </c>
      <c r="C165" s="64">
        <f>+SUMIF(Table13[Date_d],'Bill subs'!$A165,Table13[Bid Received])</f>
        <v>56221</v>
      </c>
      <c r="D165" s="64">
        <f>+SUMIF(Table13[Date_d],'Bill subs'!$A165,Table13[Bid Accepted])</f>
        <v>16811</v>
      </c>
      <c r="E165" s="7">
        <f t="shared" si="4"/>
        <v>-25689</v>
      </c>
      <c r="F165" s="77">
        <f t="shared" si="5"/>
        <v>0.39555294117647061</v>
      </c>
      <c r="G165" s="64">
        <f t="array" ref="G165">+SUM(IF(Tbills!$A:$A='Bill subs'!A165,IF(Tbills!$C:$C=364,Tbills!$M:$M,""),""))</f>
        <v>0</v>
      </c>
      <c r="H165" s="64">
        <f t="array" ref="H165">+SUM(IF(Tbills!$A:$A='Bill subs'!A165,IF(Tbills!$C:$C=91,Tbills!$M:$M,""),""))</f>
        <v>8.0000000000000071E-2</v>
      </c>
    </row>
    <row r="166" spans="1:8" x14ac:dyDescent="0.2">
      <c r="A166" s="45">
        <v>44258</v>
      </c>
      <c r="B166" s="64">
        <f>+SUMIF(Table13[Date_d],'Bill subs'!$A166,Table13[Amount Offered])</f>
        <v>45000</v>
      </c>
      <c r="C166" s="64">
        <f>+SUMIF(Table13[Date_d],'Bill subs'!$A166,Table13[Bid Received])</f>
        <v>113912</v>
      </c>
      <c r="D166" s="64">
        <f>+SUMIF(Table13[Date_d],'Bill subs'!$A166,Table13[Bid Accepted])</f>
        <v>45000</v>
      </c>
      <c r="E166" s="7">
        <f t="shared" si="4"/>
        <v>0</v>
      </c>
      <c r="F166" s="77">
        <f t="shared" si="5"/>
        <v>1</v>
      </c>
      <c r="G166" s="64">
        <f t="array" ref="G166">+SUM(IF(Tbills!$A:$A='Bill subs'!A166,IF(Tbills!$C:$C=364,Tbills!$M:$M,""),""))</f>
        <v>9.9999999999997868E-3</v>
      </c>
      <c r="H166" s="64">
        <f t="array" ref="H166">+SUM(IF(Tbills!$A:$A='Bill subs'!A166,IF(Tbills!$C:$C=91,Tbills!$M:$M,""),""))</f>
        <v>4.9999999999999822E-2</v>
      </c>
    </row>
    <row r="167" spans="1:8" x14ac:dyDescent="0.2">
      <c r="A167" s="46">
        <v>44265</v>
      </c>
      <c r="B167" s="64">
        <f>+SUMIF(Table13[Date_d],'Bill subs'!$A167,Table13[Amount Offered])</f>
        <v>45000</v>
      </c>
      <c r="C167" s="64">
        <f>+SUMIF(Table13[Date_d],'Bill subs'!$A167,Table13[Bid Received])</f>
        <v>69678</v>
      </c>
      <c r="D167" s="64">
        <f>+SUMIF(Table13[Date_d],'Bill subs'!$A167,Table13[Bid Accepted])</f>
        <v>34735</v>
      </c>
      <c r="E167" s="7">
        <f t="shared" si="4"/>
        <v>-10265</v>
      </c>
      <c r="F167" s="77">
        <f t="shared" si="5"/>
        <v>0.77188888888888885</v>
      </c>
      <c r="G167" s="64">
        <f t="array" ref="G167">+SUM(IF(Tbills!$A:$A='Bill subs'!A167,IF(Tbills!$C:$C=364,Tbills!$M:$M,""),""))</f>
        <v>0</v>
      </c>
      <c r="H167" s="64">
        <f t="array" ref="H167">+SUM(IF(Tbills!$A:$A='Bill subs'!A167,IF(Tbills!$C:$C=91,Tbills!$M:$M,""),""))</f>
        <v>4.0000000000000036E-2</v>
      </c>
    </row>
    <row r="168" spans="1:8" x14ac:dyDescent="0.2">
      <c r="A168" s="45">
        <v>44272</v>
      </c>
      <c r="B168" s="64">
        <f>+SUMIF(Table13[Date_d],'Bill subs'!$A168,Table13[Amount Offered])</f>
        <v>45000</v>
      </c>
      <c r="C168" s="64">
        <f>+SUMIF(Table13[Date_d],'Bill subs'!$A168,Table13[Bid Received])</f>
        <v>65664</v>
      </c>
      <c r="D168" s="64">
        <f>+SUMIF(Table13[Date_d],'Bill subs'!$A168,Table13[Bid Accepted])</f>
        <v>25819</v>
      </c>
      <c r="E168" s="7">
        <f t="shared" si="4"/>
        <v>-19181</v>
      </c>
      <c r="F168" s="77">
        <f t="shared" si="5"/>
        <v>0.57375555555555557</v>
      </c>
      <c r="G168" s="64">
        <f t="array" ref="G168">+SUM(IF(Tbills!$A:$A='Bill subs'!A168,IF(Tbills!$C:$C=364,Tbills!$M:$M,""),""))</f>
        <v>1.0000000000000675E-2</v>
      </c>
      <c r="H168" s="64">
        <f t="array" ref="H168">+SUM(IF(Tbills!$A:$A='Bill subs'!A168,IF(Tbills!$C:$C=91,Tbills!$M:$M,""),""))</f>
        <v>1.9999999999999574E-2</v>
      </c>
    </row>
    <row r="169" spans="1:8" x14ac:dyDescent="0.2">
      <c r="A169" s="46">
        <v>44279</v>
      </c>
      <c r="B169" s="64">
        <f>+SUMIF(Table13[Date_d],'Bill subs'!$A169,Table13[Amount Offered])</f>
        <v>45000</v>
      </c>
      <c r="C169" s="64">
        <f>+SUMIF(Table13[Date_d],'Bill subs'!$A169,Table13[Bid Received])</f>
        <v>53626</v>
      </c>
      <c r="D169" s="64">
        <f>+SUMIF(Table13[Date_d],'Bill subs'!$A169,Table13[Bid Accepted])</f>
        <v>11545</v>
      </c>
      <c r="E169" s="7">
        <f t="shared" si="4"/>
        <v>-33455</v>
      </c>
      <c r="F169" s="77">
        <f t="shared" si="5"/>
        <v>0.25655555555555554</v>
      </c>
      <c r="G169" s="64">
        <f t="array" ref="G169">+SUM(IF(Tbills!$A:$A='Bill subs'!A169,IF(Tbills!$C:$C=364,Tbills!$M:$M,""),""))</f>
        <v>0</v>
      </c>
      <c r="H169" s="64">
        <f t="array" ref="H169">+SUM(IF(Tbills!$A:$A='Bill subs'!A169,IF(Tbills!$C:$C=91,Tbills!$M:$M,""),""))</f>
        <v>3.0000000000000249E-2</v>
      </c>
    </row>
    <row r="170" spans="1:8" x14ac:dyDescent="0.2">
      <c r="A170" s="45">
        <v>44285</v>
      </c>
      <c r="B170" s="64">
        <f>+SUMIF(Table13[Date_d],'Bill subs'!$A170,Table13[Amount Offered])</f>
        <v>45000</v>
      </c>
      <c r="C170" s="64">
        <f>+SUMIF(Table13[Date_d],'Bill subs'!$A170,Table13[Bid Received])</f>
        <v>46439</v>
      </c>
      <c r="D170" s="64">
        <f>+SUMIF(Table13[Date_d],'Bill subs'!$A170,Table13[Bid Accepted])</f>
        <v>10264</v>
      </c>
      <c r="E170" s="7">
        <f t="shared" si="4"/>
        <v>-34736</v>
      </c>
      <c r="F170" s="77">
        <f t="shared" si="5"/>
        <v>0.2280888888888889</v>
      </c>
      <c r="G170" s="64" t="e">
        <f t="array" ref="G170">+SUM(IF(Tbills!$A:$A='Bill subs'!A170,IF(Tbills!$C:$C=364,Tbills!$M:$M,""),""))</f>
        <v>#VALUE!</v>
      </c>
      <c r="H170" s="64">
        <f t="array" ref="H170">+SUM(IF(Tbills!$A:$A='Bill subs'!A170,IF(Tbills!$C:$C=91,Tbills!$M:$M,""),""))</f>
        <v>9.9999999999997868E-3</v>
      </c>
    </row>
    <row r="171" spans="1:8" x14ac:dyDescent="0.2">
      <c r="A171" s="46">
        <v>44293</v>
      </c>
      <c r="B171" s="64">
        <f>+SUMIF(Table13[Date_d],'Bill subs'!$A171,Table13[Amount Offered])</f>
        <v>45000</v>
      </c>
      <c r="C171" s="64">
        <f>+SUMIF(Table13[Date_d],'Bill subs'!$A171,Table13[Bid Received])</f>
        <v>60744</v>
      </c>
      <c r="D171" s="64">
        <f>+SUMIF(Table13[Date_d],'Bill subs'!$A171,Table13[Bid Accepted])</f>
        <v>18904</v>
      </c>
      <c r="E171" s="7">
        <f t="shared" si="4"/>
        <v>-26096</v>
      </c>
      <c r="F171" s="77">
        <f t="shared" si="5"/>
        <v>0.4200888888888889</v>
      </c>
      <c r="G171" s="64">
        <f t="array" ref="G171">+SUM(IF(Tbills!$A:$A='Bill subs'!A171,IF(Tbills!$C:$C=364,Tbills!$M:$M,""),""))</f>
        <v>4.0000000000000036E-2</v>
      </c>
      <c r="H171" s="64">
        <f t="array" ref="H171">+SUM(IF(Tbills!$A:$A='Bill subs'!A171,IF(Tbills!$C:$C=91,Tbills!$M:$M,""),""))</f>
        <v>3.0000000000000249E-2</v>
      </c>
    </row>
    <row r="172" spans="1:8" x14ac:dyDescent="0.2">
      <c r="A172" s="45">
        <v>44298</v>
      </c>
      <c r="B172" s="64">
        <f>+SUMIF(Table13[Date_d],'Bill subs'!$A172,Table13[Amount Offered])</f>
        <v>45000</v>
      </c>
      <c r="C172" s="64">
        <f>+SUMIF(Table13[Date_d],'Bill subs'!$A172,Table13[Bid Received])</f>
        <v>76018</v>
      </c>
      <c r="D172" s="64">
        <f>+SUMIF(Table13[Date_d],'Bill subs'!$A172,Table13[Bid Accepted])</f>
        <v>35468</v>
      </c>
      <c r="E172" s="7">
        <f t="shared" si="4"/>
        <v>-9532</v>
      </c>
      <c r="F172" s="77">
        <f t="shared" si="5"/>
        <v>0.78817777777777775</v>
      </c>
      <c r="G172" s="64">
        <f t="array" ref="G172">+SUM(IF(Tbills!$A:$A='Bill subs'!A172,IF(Tbills!$C:$C=364,Tbills!$M:$M,""),""))</f>
        <v>0</v>
      </c>
      <c r="H172" s="64">
        <f t="array" ref="H172">+SUM(IF(Tbills!$A:$A='Bill subs'!A172,IF(Tbills!$C:$C=91,Tbills!$M:$M,""),""))</f>
        <v>9.9999999999997868E-3</v>
      </c>
    </row>
    <row r="173" spans="1:8" x14ac:dyDescent="0.2">
      <c r="A173" s="45">
        <v>44307</v>
      </c>
      <c r="B173" s="64">
        <f>+SUMIF(Table13[Date_d],'Bill subs'!$A173,Table13[Amount Offered])</f>
        <v>45000</v>
      </c>
      <c r="C173" s="64">
        <f>+SUMIF(Table13[Date_d],'Bill subs'!$A173,Table13[Bid Received])</f>
        <v>86061</v>
      </c>
      <c r="D173" s="64">
        <f>+SUMIF(Table13[Date_d],'Bill subs'!$A173,Table13[Bid Accepted])</f>
        <v>36566</v>
      </c>
      <c r="E173" s="7">
        <f t="shared" si="4"/>
        <v>-8434</v>
      </c>
      <c r="F173" s="77">
        <f t="shared" si="5"/>
        <v>0.81257777777777773</v>
      </c>
      <c r="G173" s="64">
        <f t="array" ref="G173">+SUM(IF(Tbills!$A:$A='Bill subs'!A173,IF(Tbills!$C:$C=364,Tbills!$M:$M,""),""))</f>
        <v>2.9999999999999361E-2</v>
      </c>
      <c r="H173" s="64">
        <f t="array" ref="H173">+SUM(IF(Tbills!$A:$A='Bill subs'!A173,IF(Tbills!$C:$C=91,Tbills!$M:$M,""),""))</f>
        <v>9.9999999999997868E-3</v>
      </c>
    </row>
    <row r="174" spans="1:8" x14ac:dyDescent="0.2">
      <c r="A174" s="45">
        <v>44314</v>
      </c>
      <c r="B174" s="64">
        <f>+SUMIF(Table13[Date_d],'Bill subs'!$A174,Table13[Amount Offered])</f>
        <v>45000</v>
      </c>
      <c r="C174" s="64">
        <f>+SUMIF(Table13[Date_d],'Bill subs'!$A174,Table13[Bid Received])</f>
        <v>64399</v>
      </c>
      <c r="D174" s="64">
        <f>+SUMIF(Table13[Date_d],'Bill subs'!$A174,Table13[Bid Accepted])</f>
        <v>29894</v>
      </c>
      <c r="E174" s="7">
        <f t="shared" si="4"/>
        <v>-15106</v>
      </c>
      <c r="F174" s="77">
        <f t="shared" si="5"/>
        <v>0.66431111111111107</v>
      </c>
      <c r="G174" s="64">
        <f t="array" ref="G174">+SUM(IF(Tbills!$A:$A='Bill subs'!A174,IF(Tbills!$C:$C=364,Tbills!$M:$M,""),""))</f>
        <v>0</v>
      </c>
      <c r="H174" s="64">
        <f t="array" ref="H174">+SUM(IF(Tbills!$A:$A='Bill subs'!A174,IF(Tbills!$C:$C=91,Tbills!$M:$M,""),""))</f>
        <v>1.0000000000000675E-2</v>
      </c>
    </row>
    <row r="175" spans="1:8" x14ac:dyDescent="0.2">
      <c r="A175" s="45">
        <v>44321</v>
      </c>
      <c r="B175" s="64">
        <f>+SUMIF(Table13[Date_d],'Bill subs'!$A175,Table13[Amount Offered])</f>
        <v>45000</v>
      </c>
      <c r="C175" s="64">
        <f>+SUMIF(Table13[Date_d],'Bill subs'!$A175,Table13[Bid Received])</f>
        <v>72830</v>
      </c>
      <c r="D175" s="64">
        <f>+SUMIF(Table13[Date_d],'Bill subs'!$A175,Table13[Bid Accepted])</f>
        <v>34910</v>
      </c>
      <c r="E175" s="7">
        <f t="shared" si="4"/>
        <v>-10090</v>
      </c>
      <c r="F175" s="77">
        <f t="shared" si="5"/>
        <v>0.77577777777777779</v>
      </c>
      <c r="G175" s="64">
        <f t="array" ref="G175">+SUM(IF(Tbills!$A:$A='Bill subs'!A175,IF(Tbills!$C:$C=364,Tbills!$M:$M,""),""))</f>
        <v>0</v>
      </c>
      <c r="H175" s="64">
        <f t="array" ref="H175">+SUM(IF(Tbills!$A:$A='Bill subs'!A175,IF(Tbills!$C:$C=91,Tbills!$M:$M,""),""))</f>
        <v>9.9999999999997868E-3</v>
      </c>
    </row>
    <row r="176" spans="1:8" x14ac:dyDescent="0.2">
      <c r="A176" s="45">
        <v>44327</v>
      </c>
      <c r="B176" s="64">
        <f>+SUMIF(Table13[Date_d],'Bill subs'!$A176,Table13[Amount Offered])</f>
        <v>47000</v>
      </c>
      <c r="C176" s="64">
        <f>+SUMIF(Table13[Date_d],'Bill subs'!$A176,Table13[Bid Received])</f>
        <v>63072</v>
      </c>
      <c r="D176" s="64">
        <f>+SUMIF(Table13[Date_d],'Bill subs'!$A176,Table13[Bid Accepted])</f>
        <v>21007</v>
      </c>
      <c r="E176" s="7">
        <f t="shared" si="4"/>
        <v>-25993</v>
      </c>
      <c r="F176" s="77">
        <f t="shared" si="5"/>
        <v>0.44695744680851063</v>
      </c>
      <c r="G176" s="64">
        <f t="array" ref="G176">+SUM(IF(Tbills!$A:$A='Bill subs'!A176,IF(Tbills!$C:$C=364,Tbills!$M:$M,""),""))</f>
        <v>0</v>
      </c>
      <c r="H176" s="64">
        <f t="array" ref="H176">+SUM(IF(Tbills!$A:$A='Bill subs'!A176,IF(Tbills!$C:$C=91,Tbills!$M:$M,""),""))</f>
        <v>0</v>
      </c>
    </row>
    <row r="177" spans="1:8" x14ac:dyDescent="0.2">
      <c r="A177" s="45">
        <v>44335</v>
      </c>
      <c r="B177" s="64">
        <f>+SUMIF(Table13[Date_d],'Bill subs'!$A177,Table13[Amount Offered])</f>
        <v>47000</v>
      </c>
      <c r="C177" s="64">
        <f>+SUMIF(Table13[Date_d],'Bill subs'!$A177,Table13[Bid Received])</f>
        <v>79553</v>
      </c>
      <c r="D177" s="64">
        <f>+SUMIF(Table13[Date_d],'Bill subs'!$A177,Table13[Bid Accepted])</f>
        <v>42433</v>
      </c>
      <c r="E177" s="7">
        <f t="shared" si="4"/>
        <v>-4567</v>
      </c>
      <c r="F177" s="77">
        <f t="shared" si="5"/>
        <v>0.9028297872340425</v>
      </c>
      <c r="G177" s="64">
        <f t="array" ref="G177">+SUM(IF(Tbills!$A:$A='Bill subs'!A177,IF(Tbills!$C:$C=364,Tbills!$M:$M,""),""))</f>
        <v>0</v>
      </c>
      <c r="H177" s="64">
        <f t="array" ref="H177">+SUM(IF(Tbills!$A:$A='Bill subs'!A177,IF(Tbills!$C:$C=91,Tbills!$M:$M,""),""))</f>
        <v>0</v>
      </c>
    </row>
    <row r="178" spans="1:8" x14ac:dyDescent="0.2">
      <c r="A178" s="45">
        <v>44340</v>
      </c>
      <c r="B178" s="64">
        <f>+SUMIF(Table13[Date_d],'Bill subs'!$A178,Table13[Amount Offered])</f>
        <v>39000</v>
      </c>
      <c r="C178" s="64">
        <f>+SUMIF(Table13[Date_d],'Bill subs'!$A178,Table13[Bid Received])</f>
        <v>68622</v>
      </c>
      <c r="D178" s="64">
        <f>+SUMIF(Table13[Date_d],'Bill subs'!$A178,Table13[Bid Accepted])</f>
        <v>37587</v>
      </c>
      <c r="E178" s="7">
        <f t="shared" si="4"/>
        <v>-1413</v>
      </c>
      <c r="F178" s="77">
        <f t="shared" si="5"/>
        <v>0.96376923076923082</v>
      </c>
      <c r="G178" s="64">
        <f t="array" ref="G178">+SUM(IF(Tbills!$A:$A='Bill subs'!A178,IF(Tbills!$C:$C=364,Tbills!$M:$M,""),""))</f>
        <v>0</v>
      </c>
      <c r="H178" s="64">
        <f t="array" ref="H178">+SUM(IF(Tbills!$A:$A='Bill subs'!A178,IF(Tbills!$C:$C=91,Tbills!$M:$M,""),""))</f>
        <v>9.9999999999997868E-3</v>
      </c>
    </row>
    <row r="179" spans="1:8" x14ac:dyDescent="0.2">
      <c r="A179" s="45">
        <v>44356</v>
      </c>
      <c r="B179" s="64">
        <f>+SUMIF(Table13[Date_d],'Bill subs'!$A179,Table13[Amount Offered])</f>
        <v>51000</v>
      </c>
      <c r="C179" s="64">
        <f>+SUMIF(Table13[Date_d],'Bill subs'!$A179,Table13[Bid Received])</f>
        <v>72395</v>
      </c>
      <c r="D179" s="64">
        <f>+SUMIF(Table13[Date_d],'Bill subs'!$A179,Table13[Bid Accepted])</f>
        <v>31572</v>
      </c>
      <c r="E179" s="7">
        <f t="shared" si="4"/>
        <v>-19428</v>
      </c>
      <c r="F179" s="77">
        <f t="shared" si="5"/>
        <v>0.61905882352941177</v>
      </c>
      <c r="G179" s="64">
        <f t="array" ref="G179">+SUM(IF(Tbills!$A:$A='Bill subs'!A179,IF(Tbills!$C:$C=364,Tbills!$M:$M,""),""))</f>
        <v>0</v>
      </c>
      <c r="H179" s="64">
        <f t="array" ref="H179">+SUM(IF(Tbills!$A:$A='Bill subs'!A179,IF(Tbills!$C:$C=91,Tbills!$M:$M,""),""))</f>
        <v>9.9999999999997868E-3</v>
      </c>
    </row>
    <row r="180" spans="1:8" x14ac:dyDescent="0.2">
      <c r="A180" s="45">
        <v>44363</v>
      </c>
      <c r="B180" s="64">
        <f>+SUMIF(Table13[Date_d],'Bill subs'!$A180,Table13[Amount Offered])</f>
        <v>50000</v>
      </c>
      <c r="C180" s="64">
        <f>+SUMIF(Table13[Date_d],'Bill subs'!$A180,Table13[Bid Received])</f>
        <v>64299</v>
      </c>
      <c r="D180" s="64">
        <f>+SUMIF(Table13[Date_d],'Bill subs'!$A180,Table13[Bid Accepted])</f>
        <v>19879</v>
      </c>
      <c r="E180" s="7">
        <f t="shared" si="4"/>
        <v>-30121</v>
      </c>
      <c r="F180" s="77">
        <f t="shared" si="5"/>
        <v>0.39757999999999999</v>
      </c>
      <c r="G180" s="64">
        <f t="array" ref="G180">+SUM(IF(Tbills!$A:$A='Bill subs'!A180,IF(Tbills!$C:$C=364,Tbills!$M:$M,""),""))</f>
        <v>0</v>
      </c>
      <c r="H180" s="64">
        <f t="array" ref="H180">+SUM(IF(Tbills!$A:$A='Bill subs'!A180,IF(Tbills!$C:$C=91,Tbills!$M:$M,""),""))</f>
        <v>9.9999999999997868E-3</v>
      </c>
    </row>
    <row r="181" spans="1:8" x14ac:dyDescent="0.2">
      <c r="A181" s="45">
        <v>44369</v>
      </c>
      <c r="B181" s="64">
        <f>+SUMIF(Table13[Date_d],'Bill subs'!$A181,Table13[Amount Offered])</f>
        <v>45000</v>
      </c>
      <c r="C181" s="64">
        <f>+SUMIF(Table13[Date_d],'Bill subs'!$A181,Table13[Bid Received])</f>
        <v>61980</v>
      </c>
      <c r="D181" s="64">
        <f>+SUMIF(Table13[Date_d],'Bill subs'!$A181,Table13[Bid Accepted])</f>
        <v>19025</v>
      </c>
      <c r="E181" s="7">
        <f t="shared" si="4"/>
        <v>-25975</v>
      </c>
      <c r="F181" s="77">
        <f t="shared" si="5"/>
        <v>0.42277777777777775</v>
      </c>
      <c r="G181" s="64">
        <f t="array" ref="G181">+SUM(IF(Tbills!$A:$A='Bill subs'!A181,IF(Tbills!$C:$C=364,Tbills!$M:$M,""),""))</f>
        <v>0</v>
      </c>
      <c r="H181" s="64">
        <f t="array" ref="H181">+SUM(IF(Tbills!$A:$A='Bill subs'!A181,IF(Tbills!$C:$C=91,Tbills!$M:$M,""),""))</f>
        <v>0</v>
      </c>
    </row>
    <row r="182" spans="1:8" x14ac:dyDescent="0.2">
      <c r="A182" s="45">
        <v>44377</v>
      </c>
      <c r="B182" s="64">
        <f>+SUMIF(Table13[Date_d],'Bill subs'!$A182,Table13[Amount Offered])</f>
        <v>37000</v>
      </c>
      <c r="C182" s="64">
        <f>+SUMIF(Table13[Date_d],'Bill subs'!$A182,Table13[Bid Received])</f>
        <v>61220</v>
      </c>
      <c r="D182" s="64">
        <f>+SUMIF(Table13[Date_d],'Bill subs'!$A182,Table13[Bid Accepted])</f>
        <v>29895</v>
      </c>
      <c r="E182" s="7">
        <f t="shared" si="4"/>
        <v>-7105</v>
      </c>
      <c r="F182" s="77">
        <f t="shared" si="5"/>
        <v>0.80797297297297299</v>
      </c>
      <c r="G182" s="64">
        <f t="array" ref="G182">+SUM(IF(Tbills!$A:$A='Bill subs'!A182,IF(Tbills!$C:$C=364,Tbills!$M:$M,""),""))</f>
        <v>2.0000000000000462E-2</v>
      </c>
      <c r="H182" s="64">
        <f t="array" ref="H182">+SUM(IF(Tbills!$A:$A='Bill subs'!A182,IF(Tbills!$C:$C=91,Tbills!$M:$M,""),""))</f>
        <v>9.9999999999997868E-3</v>
      </c>
    </row>
    <row r="183" spans="1:8" x14ac:dyDescent="0.2">
      <c r="A183" s="45">
        <v>44384</v>
      </c>
      <c r="B183" s="64">
        <f>+SUMIF(Table13[Date_d],'Bill subs'!$A183,Table13[Amount Offered])</f>
        <v>48000</v>
      </c>
      <c r="C183" s="64">
        <f>+SUMIF(Table13[Date_d],'Bill subs'!$A183,Table13[Bid Received])</f>
        <v>79821</v>
      </c>
      <c r="D183" s="64">
        <f>+SUMIF(Table13[Date_d],'Bill subs'!$A183,Table13[Bid Accepted])</f>
        <v>44940</v>
      </c>
      <c r="E183" s="7">
        <f t="shared" si="4"/>
        <v>-3060</v>
      </c>
      <c r="F183" s="77">
        <f t="shared" si="5"/>
        <v>0.93625000000000003</v>
      </c>
      <c r="G183" s="64">
        <f t="array" ref="G183">+SUM(IF(Tbills!$A:$A='Bill subs'!A183,IF(Tbills!$C:$C=364,Tbills!$M:$M,""),""))</f>
        <v>0</v>
      </c>
      <c r="H183" s="64">
        <f t="array" ref="H183">+SUM(IF(Tbills!$A:$A='Bill subs'!A183,IF(Tbills!$C:$C=91,Tbills!$M:$M,""),""))</f>
        <v>1.0000000000000675E-2</v>
      </c>
    </row>
    <row r="184" spans="1:8" x14ac:dyDescent="0.2">
      <c r="A184" s="45">
        <v>44391</v>
      </c>
      <c r="B184" s="64">
        <f>+SUMIF(Table13[Date_d],'Bill subs'!$A184,Table13[Amount Offered])</f>
        <v>56000</v>
      </c>
      <c r="C184" s="64">
        <f>+SUMIF(Table13[Date_d],'Bill subs'!$A184,Table13[Bid Received])</f>
        <v>111355</v>
      </c>
      <c r="D184" s="64">
        <f>+SUMIF(Table13[Date_d],'Bill subs'!$A184,Table13[Bid Accepted])</f>
        <v>56000</v>
      </c>
      <c r="E184" s="7">
        <f t="shared" si="4"/>
        <v>0</v>
      </c>
      <c r="F184" s="77">
        <f t="shared" si="5"/>
        <v>1</v>
      </c>
      <c r="G184" s="64">
        <f t="array" ref="G184">+SUM(IF(Tbills!$A:$A='Bill subs'!A184,IF(Tbills!$C:$C=364,Tbills!$M:$M,""),""))</f>
        <v>9.9999999999997868E-3</v>
      </c>
      <c r="H184" s="64">
        <f t="array" ref="H184">+SUM(IF(Tbills!$A:$A='Bill subs'!A184,IF(Tbills!$C:$C=91,Tbills!$M:$M,""),""))</f>
        <v>1.9999999999999574E-2</v>
      </c>
    </row>
    <row r="185" spans="1:8" x14ac:dyDescent="0.2">
      <c r="A185" s="45">
        <v>44394</v>
      </c>
      <c r="B185" s="64">
        <f>+SUMIF(Table13[Date_d],'Bill subs'!$A185,Table13[Amount Offered])</f>
        <v>64000</v>
      </c>
      <c r="C185" s="64">
        <f>+SUMIF(Table13[Date_d],'Bill subs'!$A185,Table13[Bid Received])</f>
        <v>101515</v>
      </c>
      <c r="D185" s="64">
        <f>+SUMIF(Table13[Date_d],'Bill subs'!$A185,Table13[Bid Accepted])</f>
        <v>46145</v>
      </c>
      <c r="E185" s="7">
        <f t="shared" si="4"/>
        <v>-17855</v>
      </c>
      <c r="F185" s="77">
        <f t="shared" si="5"/>
        <v>0.72101562500000005</v>
      </c>
      <c r="G185" s="64">
        <f t="array" ref="G185">+SUM(IF(Tbills!$A:$A='Bill subs'!A185,IF(Tbills!$C:$C=364,Tbills!$M:$M,""),""))</f>
        <v>9.9999999999997868E-3</v>
      </c>
      <c r="H185" s="64">
        <f t="array" ref="H185">+SUM(IF(Tbills!$A:$A='Bill subs'!A185,IF(Tbills!$C:$C=91,Tbills!$M:$M,""),""))</f>
        <v>9.9999999999997868E-3</v>
      </c>
    </row>
    <row r="186" spans="1:8" x14ac:dyDescent="0.2">
      <c r="A186" s="45">
        <v>44396</v>
      </c>
      <c r="B186" s="64">
        <f>+SUMIF(Table13[Date_d],'Bill subs'!$A186,Table13[Amount Offered])</f>
        <v>64000</v>
      </c>
      <c r="C186" s="64">
        <f>+SUMIF(Table13[Date_d],'Bill subs'!$A186,Table13[Bid Received])</f>
        <v>101515</v>
      </c>
      <c r="D186" s="64">
        <f>+SUMIF(Table13[Date_d],'Bill subs'!$A186,Table13[Bid Accepted])</f>
        <v>46145</v>
      </c>
      <c r="E186" s="7">
        <f t="shared" si="4"/>
        <v>-17855</v>
      </c>
      <c r="F186" s="77">
        <f t="shared" si="5"/>
        <v>0.72101562500000005</v>
      </c>
      <c r="G186" s="64">
        <f t="array" ref="G186">+SUM(IF(Tbills!$A:$A='Bill subs'!A186,IF(Tbills!$C:$C=364,Tbills!$M:$M,""),""))</f>
        <v>9.9999999999997868E-3</v>
      </c>
      <c r="H186" s="64">
        <f t="array" ref="H186">+SUM(IF(Tbills!$A:$A='Bill subs'!A186,IF(Tbills!$C:$C=91,Tbills!$M:$M,""),""))</f>
        <v>9.9999999999997868E-3</v>
      </c>
    </row>
    <row r="187" spans="1:8" x14ac:dyDescent="0.2">
      <c r="A187" s="45">
        <v>44405</v>
      </c>
      <c r="B187" s="64">
        <f>+SUMIF(Table13[Date_d],'Bill subs'!$A187,Table13[Amount Offered])</f>
        <v>47500</v>
      </c>
      <c r="C187" s="64">
        <f>+SUMIF(Table13[Date_d],'Bill subs'!$A187,Table13[Bid Received])</f>
        <v>66051</v>
      </c>
      <c r="D187" s="64">
        <f>+SUMIF(Table13[Date_d],'Bill subs'!$A187,Table13[Bid Accepted])</f>
        <v>27694</v>
      </c>
      <c r="E187" s="7">
        <f t="shared" si="4"/>
        <v>-19806</v>
      </c>
      <c r="F187" s="77">
        <f t="shared" si="5"/>
        <v>0.58303157894736846</v>
      </c>
      <c r="G187" s="64">
        <f t="array" ref="G187">+SUM(IF(Tbills!$A:$A='Bill subs'!A187,IF(Tbills!$C:$C=364,Tbills!$M:$M,""),""))</f>
        <v>0</v>
      </c>
      <c r="H187" s="64">
        <f t="array" ref="H187">+SUM(IF(Tbills!$A:$A='Bill subs'!A187,IF(Tbills!$C:$C=91,Tbills!$M:$M,""),""))</f>
        <v>0</v>
      </c>
    </row>
    <row r="188" spans="1:8" x14ac:dyDescent="0.2">
      <c r="A188" s="45">
        <v>44412</v>
      </c>
      <c r="B188" s="64">
        <f>+SUMIF(Table13[Date_d],'Bill subs'!$A188,Table13[Amount Offered])</f>
        <v>46000</v>
      </c>
      <c r="C188" s="64">
        <f>+SUMIF(Table13[Date_d],'Bill subs'!$A188,Table13[Bid Received])</f>
        <v>76082</v>
      </c>
      <c r="D188" s="64">
        <f>+SUMIF(Table13[Date_d],'Bill subs'!$A188,Table13[Bid Accepted])</f>
        <v>40032</v>
      </c>
      <c r="E188" s="7">
        <f t="shared" si="4"/>
        <v>-5968</v>
      </c>
      <c r="F188" s="77">
        <f t="shared" si="5"/>
        <v>0.87026086956521742</v>
      </c>
      <c r="G188" s="64">
        <f t="array" ref="G188">+SUM(IF(Tbills!$A:$A='Bill subs'!A188,IF(Tbills!$C:$C=364,Tbills!$M:$M,""),""))</f>
        <v>3.0000000000000249E-2</v>
      </c>
      <c r="H188" s="64">
        <f t="array" ref="H188">+SUM(IF(Tbills!$A:$A='Bill subs'!A188,IF(Tbills!$C:$C=91,Tbills!$M:$M,""),""))</f>
        <v>2.0000000000000462E-2</v>
      </c>
    </row>
    <row r="189" spans="1:8" x14ac:dyDescent="0.2">
      <c r="A189" s="45">
        <v>44419</v>
      </c>
      <c r="B189" s="64">
        <f>+SUMIF(Table13[Date_d],'Bill subs'!$A189,Table13[Amount Offered])</f>
        <v>30500</v>
      </c>
      <c r="C189" s="64">
        <f>+SUMIF(Table13[Date_d],'Bill subs'!$A189,Table13[Bid Received])</f>
        <v>56708</v>
      </c>
      <c r="D189" s="64">
        <f>+SUMIF(Table13[Date_d],'Bill subs'!$A189,Table13[Bid Accepted])</f>
        <v>28418</v>
      </c>
      <c r="E189" s="7">
        <f t="shared" si="4"/>
        <v>-2082</v>
      </c>
      <c r="F189" s="77">
        <f t="shared" si="5"/>
        <v>0.93173770491803276</v>
      </c>
      <c r="G189" s="64">
        <f t="array" ref="G189">+SUM(IF(Tbills!$A:$A='Bill subs'!A189,IF(Tbills!$C:$C=364,Tbills!$M:$M,""),""))</f>
        <v>4.0000000000000036E-2</v>
      </c>
      <c r="H189" s="64">
        <f t="array" ref="H189">+SUM(IF(Tbills!$A:$A='Bill subs'!A189,IF(Tbills!$C:$C=91,Tbills!$M:$M,""),""))</f>
        <v>2.9999999999999361E-2</v>
      </c>
    </row>
    <row r="190" spans="1:8" x14ac:dyDescent="0.2">
      <c r="A190" s="45">
        <v>44426</v>
      </c>
      <c r="B190" s="64">
        <f>+SUMIF(Table13[Date_d],'Bill subs'!$A190,Table13[Amount Offered])</f>
        <v>53500</v>
      </c>
      <c r="C190" s="64">
        <f>+SUMIF(Table13[Date_d],'Bill subs'!$A190,Table13[Bid Received])</f>
        <v>67355</v>
      </c>
      <c r="D190" s="64">
        <f>+SUMIF(Table13[Date_d],'Bill subs'!$A190,Table13[Bid Accepted])</f>
        <v>24162</v>
      </c>
      <c r="E190" s="7">
        <f t="shared" si="4"/>
        <v>-29338</v>
      </c>
      <c r="F190" s="77">
        <f t="shared" si="5"/>
        <v>0.45162616822429907</v>
      </c>
      <c r="G190" s="64">
        <f t="array" ref="G190">+SUM(IF(Tbills!$A:$A='Bill subs'!A190,IF(Tbills!$C:$C=364,Tbills!$M:$M,""),""))</f>
        <v>0</v>
      </c>
      <c r="H190" s="64">
        <f t="array" ref="H190">+SUM(IF(Tbills!$A:$A='Bill subs'!A190,IF(Tbills!$C:$C=91,Tbills!$M:$M,""),""))</f>
        <v>6.0000000000000497E-2</v>
      </c>
    </row>
    <row r="191" spans="1:8" x14ac:dyDescent="0.2">
      <c r="A191" s="45">
        <v>44433</v>
      </c>
      <c r="B191" s="64">
        <f>+SUMIF(Table13[Date_d],'Bill subs'!$A191,Table13[Amount Offered])</f>
        <v>56500</v>
      </c>
      <c r="C191" s="64">
        <f>+SUMIF(Table13[Date_d],'Bill subs'!$A191,Table13[Bid Received])</f>
        <v>88492</v>
      </c>
      <c r="D191" s="64">
        <f>+SUMIF(Table13[Date_d],'Bill subs'!$A191,Table13[Bid Accepted])</f>
        <v>37317</v>
      </c>
      <c r="E191" s="7">
        <f t="shared" si="4"/>
        <v>-19183</v>
      </c>
      <c r="F191" s="77">
        <f t="shared" si="5"/>
        <v>0.66047787610619468</v>
      </c>
      <c r="G191" s="64">
        <f t="array" ref="G191">+SUM(IF(Tbills!$A:$A='Bill subs'!A191,IF(Tbills!$C:$C=364,Tbills!$M:$M,""),""))</f>
        <v>0.60999999999999943</v>
      </c>
      <c r="H191" s="64">
        <f t="array" ref="H191">+SUM(IF(Tbills!$A:$A='Bill subs'!A191,IF(Tbills!$C:$C=91,Tbills!$M:$M,""),""))</f>
        <v>0.54</v>
      </c>
    </row>
    <row r="192" spans="1:8" x14ac:dyDescent="0.2">
      <c r="A192" s="45">
        <v>44440</v>
      </c>
      <c r="B192" s="64">
        <f>+SUMIF(Table13[Date_d],'Bill subs'!$A192,Table13[Amount Offered])</f>
        <v>68500</v>
      </c>
      <c r="C192" s="64">
        <f>+SUMIF(Table13[Date_d],'Bill subs'!$A192,Table13[Bid Received])</f>
        <v>83106</v>
      </c>
      <c r="D192" s="64">
        <f>+SUMIF(Table13[Date_d],'Bill subs'!$A192,Table13[Bid Accepted])</f>
        <v>25251</v>
      </c>
      <c r="E192" s="7">
        <f t="shared" si="4"/>
        <v>-43249</v>
      </c>
      <c r="F192" s="77">
        <f t="shared" si="5"/>
        <v>0.3686277372262774</v>
      </c>
      <c r="G192" s="64">
        <f t="array" ref="G192">+SUM(IF(Tbills!$A:$A='Bill subs'!A192,IF(Tbills!$C:$C=364,Tbills!$M:$M,""),""))</f>
        <v>3.0000000000000249E-2</v>
      </c>
      <c r="H192" s="64">
        <f t="array" ref="H192">+SUM(IF(Tbills!$A:$A='Bill subs'!A192,IF(Tbills!$C:$C=91,Tbills!$M:$M,""),""))</f>
        <v>4.9999999999999822E-2</v>
      </c>
    </row>
    <row r="193" spans="1:8" x14ac:dyDescent="0.2">
      <c r="A193" s="52">
        <v>44447</v>
      </c>
      <c r="B193" s="64">
        <f>+SUMIF(Table13[Date_d],'Bill subs'!$A193,Table13[Amount Offered])</f>
        <v>64000</v>
      </c>
      <c r="C193" s="64">
        <f>+SUMIF(Table13[Date_d],'Bill subs'!$A193,Table13[Bid Received])</f>
        <v>84329</v>
      </c>
      <c r="D193" s="64">
        <f>+SUMIF(Table13[Date_d],'Bill subs'!$A193,Table13[Bid Accepted])</f>
        <v>30784</v>
      </c>
      <c r="E193" s="7">
        <f t="shared" si="4"/>
        <v>-33216</v>
      </c>
      <c r="F193" s="77">
        <f t="shared" si="5"/>
        <v>0.48099999999999998</v>
      </c>
      <c r="G193" s="64">
        <f t="array" ref="G193">+SUM(IF(Tbills!$A:$A='Bill subs'!A193,IF(Tbills!$C:$C=364,Tbills!$M:$M,""),""))</f>
        <v>8.9999999999999858E-2</v>
      </c>
      <c r="H193" s="64">
        <f t="array" ref="H193">+SUM(IF(Tbills!$A:$A='Bill subs'!A193,IF(Tbills!$C:$C=91,Tbills!$M:$M,""),""))</f>
        <v>8.9999999999999858E-2</v>
      </c>
    </row>
    <row r="194" spans="1:8" x14ac:dyDescent="0.2">
      <c r="A194" s="52">
        <v>44454</v>
      </c>
      <c r="B194" s="64">
        <f>+SUMIF(Table13[Date_d],'Bill subs'!$A194,Table13[Amount Offered])</f>
        <v>39500</v>
      </c>
      <c r="C194" s="64">
        <f>+SUMIF(Table13[Date_d],'Bill subs'!$A194,Table13[Bid Received])</f>
        <v>52940</v>
      </c>
      <c r="D194" s="64">
        <f>+SUMIF(Table13[Date_d],'Bill subs'!$A194,Table13[Bid Accepted])</f>
        <v>19578</v>
      </c>
      <c r="E194" s="7">
        <f t="shared" ref="E194:E251" si="6">+D194-B194</f>
        <v>-19922</v>
      </c>
      <c r="F194" s="77">
        <f t="shared" ref="F194:F251" si="7">+D194/B194</f>
        <v>0.49564556962025319</v>
      </c>
      <c r="G194" s="64">
        <f t="array" ref="G194">+SUM(IF(Tbills!$A:$A='Bill subs'!A194,IF(Tbills!$C:$C=364,Tbills!$M:$M,""),""))</f>
        <v>7.0000000000000284E-2</v>
      </c>
      <c r="H194" s="64">
        <f t="array" ref="H194">+SUM(IF(Tbills!$A:$A='Bill subs'!A194,IF(Tbills!$C:$C=91,Tbills!$M:$M,""),""))</f>
        <v>7.0000000000000284E-2</v>
      </c>
    </row>
    <row r="195" spans="1:8" x14ac:dyDescent="0.2">
      <c r="A195" s="52">
        <v>44461</v>
      </c>
      <c r="B195" s="64">
        <f>+SUMIF(Table13[Date_d],'Bill subs'!$A195,Table13[Amount Offered])</f>
        <v>39500</v>
      </c>
      <c r="C195" s="64">
        <f>+SUMIF(Table13[Date_d],'Bill subs'!$A195,Table13[Bid Received])</f>
        <v>55473</v>
      </c>
      <c r="D195" s="64">
        <f>+SUMIF(Table13[Date_d],'Bill subs'!$A195,Table13[Bid Accepted])</f>
        <v>20171</v>
      </c>
      <c r="E195" s="7">
        <f t="shared" si="6"/>
        <v>-19329</v>
      </c>
      <c r="F195" s="77">
        <f t="shared" si="7"/>
        <v>0.51065822784810122</v>
      </c>
      <c r="G195" s="64">
        <f t="array" ref="G195">+SUM(IF(Tbills!$A:$A='Bill subs'!A195,IF(Tbills!$C:$C=364,Tbills!$M:$M,""),""))</f>
        <v>0.37999999999999989</v>
      </c>
      <c r="H195" s="64">
        <f t="array" ref="H195">+SUM(IF(Tbills!$A:$A='Bill subs'!A195,IF(Tbills!$C:$C=91,Tbills!$M:$M,""),""))</f>
        <v>0.29999999999999982</v>
      </c>
    </row>
    <row r="196" spans="1:8" x14ac:dyDescent="0.2">
      <c r="A196" s="52">
        <v>44475</v>
      </c>
      <c r="B196" s="64">
        <f>+SUMIF(Table13[Date_d],'Bill subs'!$A196,Table13[Amount Offered])</f>
        <v>65700</v>
      </c>
      <c r="C196" s="64">
        <f>+SUMIF(Table13[Date_d],'Bill subs'!$A196,Table13[Bid Received])</f>
        <v>105065</v>
      </c>
      <c r="D196" s="64">
        <f>+SUMIF(Table13[Date_d],'Bill subs'!$A196,Table13[Bid Accepted])</f>
        <v>47438</v>
      </c>
      <c r="E196" s="7">
        <f t="shared" si="6"/>
        <v>-18262</v>
      </c>
      <c r="F196" s="77">
        <f t="shared" si="7"/>
        <v>0.72203957382039574</v>
      </c>
      <c r="G196" s="64">
        <f t="array" ref="G196">+SUM(IF(Tbills!$A:$A='Bill subs'!A196,IF(Tbills!$C:$C=364,Tbills!$M:$M,""),""))</f>
        <v>0.27000000000000046</v>
      </c>
      <c r="H196" s="64">
        <f t="array" ref="H196">+SUM(IF(Tbills!$A:$A='Bill subs'!A196,IF(Tbills!$C:$C=91,Tbills!$M:$M,""),""))</f>
        <v>0.45000000000000018</v>
      </c>
    </row>
    <row r="197" spans="1:8" x14ac:dyDescent="0.2">
      <c r="A197" s="52">
        <v>44482</v>
      </c>
      <c r="B197" s="64">
        <f>+SUMIF(Table13[Date_d],'Bill subs'!$A197,Table13[Amount Offered])</f>
        <v>85000</v>
      </c>
      <c r="C197" s="64">
        <f>+SUMIF(Table13[Date_d],'Bill subs'!$A197,Table13[Bid Received])</f>
        <v>139085</v>
      </c>
      <c r="D197" s="64">
        <f>+SUMIF(Table13[Date_d],'Bill subs'!$A197,Table13[Bid Accepted])</f>
        <v>50416</v>
      </c>
      <c r="E197" s="7">
        <f t="shared" si="6"/>
        <v>-34584</v>
      </c>
      <c r="F197" s="77">
        <f t="shared" si="7"/>
        <v>0.5931294117647059</v>
      </c>
      <c r="G197" s="64">
        <f t="array" ref="G197">+SUM(IF(Tbills!$A:$A='Bill subs'!A197,IF(Tbills!$C:$C=364,Tbills!$M:$M,""),""))</f>
        <v>0</v>
      </c>
      <c r="H197" s="64">
        <f t="array" ref="H197">+SUM(IF(Tbills!$A:$A='Bill subs'!A197,IF(Tbills!$C:$C=91,Tbills!$M:$M,""),""))</f>
        <v>0.88999999999999879</v>
      </c>
    </row>
    <row r="198" spans="1:8" x14ac:dyDescent="0.2">
      <c r="A198" s="52">
        <v>44487</v>
      </c>
      <c r="B198" s="64">
        <f>+SUMIF(Table13[Date_d],'Bill subs'!$A198,Table13[Amount Offered])</f>
        <v>74500</v>
      </c>
      <c r="C198" s="64">
        <f>+SUMIF(Table13[Date_d],'Bill subs'!$A198,Table13[Bid Received])</f>
        <v>215183</v>
      </c>
      <c r="D198" s="64">
        <f>+SUMIF(Table13[Date_d],'Bill subs'!$A198,Table13[Bid Accepted])</f>
        <v>74500</v>
      </c>
      <c r="E198" s="7">
        <f t="shared" si="6"/>
        <v>0</v>
      </c>
      <c r="F198" s="77">
        <f t="shared" si="7"/>
        <v>1</v>
      </c>
      <c r="G198" s="64">
        <f t="array" ref="G198">+SUM(IF(Tbills!$A:$A='Bill subs'!A198,IF(Tbills!$C:$C=364,Tbills!$M:$M,""),""))</f>
        <v>0.88999999999999968</v>
      </c>
      <c r="H198" s="64">
        <f t="array" ref="H198">+SUM(IF(Tbills!$A:$A='Bill subs'!A198,IF(Tbills!$C:$C=91,Tbills!$M:$M,""),""))</f>
        <v>0.35000000000000142</v>
      </c>
    </row>
    <row r="199" spans="1:8" x14ac:dyDescent="0.2">
      <c r="A199" s="52">
        <v>44496</v>
      </c>
      <c r="B199" s="64">
        <f>+SUMIF(Table13[Date_d],'Bill subs'!$A199,Table13[Amount Offered])</f>
        <v>56500</v>
      </c>
      <c r="C199" s="64">
        <f>+SUMIF(Table13[Date_d],'Bill subs'!$A199,Table13[Bid Received])</f>
        <v>215286</v>
      </c>
      <c r="D199" s="64">
        <f>+SUMIF(Table13[Date_d],'Bill subs'!$A199,Table13[Bid Accepted])</f>
        <v>56500</v>
      </c>
      <c r="E199" s="7">
        <f t="shared" si="6"/>
        <v>0</v>
      </c>
      <c r="F199" s="77">
        <f t="shared" si="7"/>
        <v>1</v>
      </c>
      <c r="G199" s="64">
        <f t="array" ref="G199">+SUM(IF(Tbills!$A:$A='Bill subs'!A199,IF(Tbills!$C:$C=364,Tbills!$M:$M,""),""))</f>
        <v>9.9999999999997868E-3</v>
      </c>
      <c r="H199" s="64">
        <f t="array" ref="H199">+SUM(IF(Tbills!$A:$A='Bill subs'!A199,IF(Tbills!$C:$C=91,Tbills!$M:$M,""),""))</f>
        <v>3.9999999999999147E-2</v>
      </c>
    </row>
    <row r="200" spans="1:8" x14ac:dyDescent="0.2">
      <c r="A200" s="52">
        <v>44502</v>
      </c>
      <c r="B200" s="64">
        <f>+SUMIF(Table13[Date_d],'Bill subs'!$A200,Table13[Amount Offered])</f>
        <v>66000</v>
      </c>
      <c r="C200" s="64">
        <f>+SUMIF(Table13[Date_d],'Bill subs'!$A200,Table13[Bid Received])</f>
        <v>235323</v>
      </c>
      <c r="D200" s="64">
        <f>+SUMIF(Table13[Date_d],'Bill subs'!$A200,Table13[Bid Accepted])</f>
        <v>66000</v>
      </c>
      <c r="E200" s="7">
        <f t="shared" si="6"/>
        <v>0</v>
      </c>
      <c r="F200" s="77">
        <f t="shared" si="7"/>
        <v>1</v>
      </c>
      <c r="G200" s="64">
        <f t="array" ref="G200">+SUM(IF(Tbills!$A:$A='Bill subs'!A200,IF(Tbills!$C:$C=364,Tbills!$M:$M,""),""))</f>
        <v>8.0000000000000071E-2</v>
      </c>
      <c r="H200" s="64">
        <f t="array" ref="H200">+SUM(IF(Tbills!$A:$A='Bill subs'!A200,IF(Tbills!$C:$C=91,Tbills!$M:$M,""),""))</f>
        <v>-0.25</v>
      </c>
    </row>
    <row r="201" spans="1:8" x14ac:dyDescent="0.2">
      <c r="A201" s="52">
        <v>44510</v>
      </c>
      <c r="B201" s="64">
        <f>+SUMIF(Table13[Date_d],'Bill subs'!$A201,Table13[Amount Offered])</f>
        <v>52000</v>
      </c>
      <c r="C201" s="64">
        <f>+SUMIF(Table13[Date_d],'Bill subs'!$A201,Table13[Bid Received])</f>
        <v>200362</v>
      </c>
      <c r="D201" s="64">
        <f>+SUMIF(Table13[Date_d],'Bill subs'!$A201,Table13[Bid Accepted])</f>
        <v>52000</v>
      </c>
      <c r="E201" s="7">
        <f t="shared" si="6"/>
        <v>0</v>
      </c>
      <c r="F201" s="77">
        <f t="shared" si="7"/>
        <v>1</v>
      </c>
      <c r="G201" s="64">
        <f t="array" ref="G201">+SUM(IF(Tbills!$A:$A='Bill subs'!A201,IF(Tbills!$C:$C=364,Tbills!$M:$M,""),""))</f>
        <v>-7.0000000000000284E-2</v>
      </c>
      <c r="H201" s="64">
        <f t="array" ref="H201">+SUM(IF(Tbills!$A:$A='Bill subs'!A201,IF(Tbills!$C:$C=91,Tbills!$M:$M,""),""))</f>
        <v>-0.19999999999999929</v>
      </c>
    </row>
    <row r="202" spans="1:8" x14ac:dyDescent="0.2">
      <c r="A202" s="52">
        <v>44516</v>
      </c>
      <c r="B202" s="64">
        <f>+SUMIF(Table13[Date_d],'Bill subs'!$A202,Table13[Amount Offered])</f>
        <v>53000</v>
      </c>
      <c r="C202" s="64">
        <f>+SUMIF(Table13[Date_d],'Bill subs'!$A202,Table13[Bid Received])</f>
        <v>179556</v>
      </c>
      <c r="D202" s="64">
        <f>+SUMIF(Table13[Date_d],'Bill subs'!$A202,Table13[Bid Accepted])</f>
        <v>53000</v>
      </c>
      <c r="E202" s="7">
        <f t="shared" si="6"/>
        <v>0</v>
      </c>
      <c r="F202" s="77">
        <f t="shared" si="7"/>
        <v>1</v>
      </c>
      <c r="G202" s="64">
        <f t="array" ref="G202">+SUM(IF(Tbills!$A:$A='Bill subs'!A202,IF(Tbills!$C:$C=364,Tbills!$M:$M,""),""))</f>
        <v>-1.9999999999999574E-2</v>
      </c>
      <c r="H202" s="64">
        <f t="array" ref="H202">+SUM(IF(Tbills!$A:$A='Bill subs'!A202,IF(Tbills!$C:$C=91,Tbills!$M:$M,""),""))</f>
        <v>-0.21000000000000085</v>
      </c>
    </row>
    <row r="203" spans="1:8" x14ac:dyDescent="0.2">
      <c r="A203" s="52">
        <v>44524</v>
      </c>
      <c r="B203" s="64">
        <f>+SUMIF(Table13[Date_d],'Bill subs'!$A203,Table13[Amount Offered])</f>
        <v>61000</v>
      </c>
      <c r="C203" s="64">
        <f>+SUMIF(Table13[Date_d],'Bill subs'!$A203,Table13[Bid Received])</f>
        <v>168167</v>
      </c>
      <c r="D203" s="64">
        <f>+SUMIF(Table13[Date_d],'Bill subs'!$A203,Table13[Bid Accepted])</f>
        <v>61000</v>
      </c>
      <c r="E203" s="7">
        <f t="shared" si="6"/>
        <v>0</v>
      </c>
      <c r="F203" s="77">
        <f t="shared" si="7"/>
        <v>1</v>
      </c>
      <c r="G203" s="64">
        <f t="array" ref="G203">+SUM(IF(Tbills!$A:$A='Bill subs'!A203,IF(Tbills!$C:$C=364,Tbills!$M:$M,""),""))</f>
        <v>-9.9999999999997868E-3</v>
      </c>
      <c r="H203" s="64">
        <f t="array" ref="H203">+SUM(IF(Tbills!$A:$A='Bill subs'!A203,IF(Tbills!$C:$C=91,Tbills!$M:$M,""),""))</f>
        <v>-0.23999999999999932</v>
      </c>
    </row>
    <row r="204" spans="1:8" x14ac:dyDescent="0.2">
      <c r="A204" s="52">
        <v>44531</v>
      </c>
      <c r="B204" s="64">
        <f>+SUMIF(Table13[Date_d],'Bill subs'!$A204,Table13[Amount Offered])</f>
        <v>60000</v>
      </c>
      <c r="C204" s="64">
        <f>+SUMIF(Table13[Date_d],'Bill subs'!$A204,Table13[Bid Received])</f>
        <v>161164</v>
      </c>
      <c r="D204" s="64">
        <f>+SUMIF(Table13[Date_d],'Bill subs'!$A204,Table13[Bid Accepted])</f>
        <v>60000</v>
      </c>
      <c r="E204" s="7">
        <f t="shared" si="6"/>
        <v>0</v>
      </c>
      <c r="F204" s="77">
        <f t="shared" si="7"/>
        <v>1</v>
      </c>
      <c r="G204" s="64">
        <f t="array" ref="G204">+SUM(IF(Tbills!$A:$A='Bill subs'!A204,IF(Tbills!$C:$C=364,Tbills!$M:$M,""),""))</f>
        <v>-4.0000000000000924E-2</v>
      </c>
      <c r="H204" s="64">
        <f t="array" ref="H204">+SUM(IF(Tbills!$A:$A='Bill subs'!A204,IF(Tbills!$C:$C=91,Tbills!$M:$M,""),""))</f>
        <v>-0.29999999999999982</v>
      </c>
    </row>
    <row r="205" spans="1:8" x14ac:dyDescent="0.2">
      <c r="A205" s="52">
        <v>44552</v>
      </c>
      <c r="B205" s="64">
        <f>+SUMIF(Table13[Date_d],'Bill subs'!$A205,Table13[Amount Offered])</f>
        <v>47500</v>
      </c>
      <c r="C205" s="64">
        <f>+SUMIF(Table13[Date_d],'Bill subs'!$A205,Table13[Bid Received])</f>
        <v>83700</v>
      </c>
      <c r="D205" s="64">
        <f>+SUMIF(Table13[Date_d],'Bill subs'!$A205,Table13[Bid Accepted])</f>
        <v>40118</v>
      </c>
      <c r="E205" s="7">
        <f t="shared" si="6"/>
        <v>-7382</v>
      </c>
      <c r="F205" s="77">
        <f t="shared" si="7"/>
        <v>0.84458947368421056</v>
      </c>
      <c r="G205" s="64">
        <f t="array" ref="G205">+SUM(IF(Tbills!$A:$A='Bill subs'!A205,IF(Tbills!$C:$C=364,Tbills!$M:$M,""),""))</f>
        <v>-4.0000000000000924E-2</v>
      </c>
      <c r="H205" s="64">
        <f t="array" ref="H205">+SUM(IF(Tbills!$A:$A='Bill subs'!A205,IF(Tbills!$C:$C=91,Tbills!$M:$M,""),""))</f>
        <v>0.46999999999999975</v>
      </c>
    </row>
    <row r="206" spans="1:8" x14ac:dyDescent="0.2">
      <c r="A206" s="52">
        <v>44559</v>
      </c>
      <c r="B206" s="64">
        <f>+SUMIF(Table13[Date_d],'Bill subs'!$A206,Table13[Amount Offered])</f>
        <v>48500</v>
      </c>
      <c r="C206" s="64">
        <f>+SUMIF(Table13[Date_d],'Bill subs'!$A206,Table13[Bid Received])</f>
        <v>83700</v>
      </c>
      <c r="D206" s="64">
        <f>+SUMIF(Table13[Date_d],'Bill subs'!$A206,Table13[Bid Accepted])</f>
        <v>33566</v>
      </c>
      <c r="E206" s="7">
        <f t="shared" si="6"/>
        <v>-14934</v>
      </c>
      <c r="F206" s="77">
        <f t="shared" si="7"/>
        <v>0.69208247422680413</v>
      </c>
      <c r="G206" s="64">
        <f t="array" ref="G206">+SUM(IF(Tbills!$A:$A='Bill subs'!A206,IF(Tbills!$C:$C=364,Tbills!$M:$M,""),""))</f>
        <v>0.22000000000000064</v>
      </c>
      <c r="H206" s="64">
        <f t="array" ref="H206">+SUM(IF(Tbills!$A:$A='Bill subs'!A206,IF(Tbills!$C:$C=91,Tbills!$M:$M,""),""))</f>
        <v>0.45000000000000018</v>
      </c>
    </row>
    <row r="207" spans="1:8" x14ac:dyDescent="0.2">
      <c r="A207" s="52">
        <v>44566</v>
      </c>
      <c r="B207" s="64">
        <f>+SUMIF(Table13[Date_d],'Bill subs'!$A207,Table13[Amount Offered])</f>
        <v>74500</v>
      </c>
      <c r="C207" s="64">
        <f>+SUMIF(Table13[Date_d],'Bill subs'!$A207,Table13[Bid Received])</f>
        <v>163562</v>
      </c>
      <c r="D207" s="64">
        <f>+SUMIF(Table13[Date_d],'Bill subs'!$A207,Table13[Bid Accepted])</f>
        <v>74500</v>
      </c>
      <c r="E207" s="7">
        <f t="shared" si="6"/>
        <v>0</v>
      </c>
      <c r="F207" s="77">
        <f t="shared" si="7"/>
        <v>1</v>
      </c>
      <c r="G207" s="64">
        <f t="array" ref="G207">+SUM(IF(Tbills!$A:$A='Bill subs'!A207,IF(Tbills!$C:$C=364,Tbills!$M:$M,""),""))</f>
        <v>0.15000000000000036</v>
      </c>
      <c r="H207" s="64">
        <f t="array" ref="H207">+SUM(IF(Tbills!$A:$A='Bill subs'!A207,IF(Tbills!$C:$C=91,Tbills!$M:$M,""),""))</f>
        <v>9.9999999999999645E-2</v>
      </c>
    </row>
    <row r="208" spans="1:8" x14ac:dyDescent="0.2">
      <c r="A208" s="52">
        <v>44573</v>
      </c>
      <c r="B208" s="64">
        <f>+SUMIF(Table13[Date_d],'Bill subs'!$A208,Table13[Amount Offered])</f>
        <v>81000</v>
      </c>
      <c r="C208" s="64">
        <f>+SUMIF(Table13[Date_d],'Bill subs'!$A208,Table13[Bid Received])</f>
        <v>211167</v>
      </c>
      <c r="D208" s="64">
        <f>+SUMIF(Table13[Date_d],'Bill subs'!$A208,Table13[Bid Accepted])</f>
        <v>81000</v>
      </c>
      <c r="E208" s="7">
        <f t="shared" si="6"/>
        <v>0</v>
      </c>
      <c r="F208" s="77">
        <f t="shared" si="7"/>
        <v>1</v>
      </c>
      <c r="G208" s="64">
        <f t="array" ref="G208">+SUM(IF(Tbills!$A:$A='Bill subs'!A208,IF(Tbills!$C:$C=364,Tbills!$M:$M,""),""))</f>
        <v>4.9999999999998934E-2</v>
      </c>
      <c r="H208" s="64">
        <f t="array" ref="H208">+SUM(IF(Tbills!$A:$A='Bill subs'!A208,IF(Tbills!$C:$C=91,Tbills!$M:$M,""),""))</f>
        <v>0.12000000000000099</v>
      </c>
    </row>
    <row r="209" spans="1:8" x14ac:dyDescent="0.2">
      <c r="A209" s="52">
        <v>44580</v>
      </c>
      <c r="B209" s="64">
        <f>+SUMIF(Table13[Date_d],'Bill subs'!$A209,Table13[Amount Offered])</f>
        <v>97000</v>
      </c>
      <c r="C209" s="64">
        <f>+SUMIF(Table13[Date_d],'Bill subs'!$A209,Table13[Bid Received])</f>
        <v>209946</v>
      </c>
      <c r="D209" s="64">
        <f>+SUMIF(Table13[Date_d],'Bill subs'!$A209,Table13[Bid Accepted])</f>
        <v>97000</v>
      </c>
      <c r="E209" s="7">
        <f t="shared" si="6"/>
        <v>0</v>
      </c>
      <c r="F209" s="77">
        <f t="shared" si="7"/>
        <v>1</v>
      </c>
      <c r="G209" s="64">
        <f t="array" ref="G209">+SUM(IF(Tbills!$A:$A='Bill subs'!A209,IF(Tbills!$C:$C=364,Tbills!$M:$M,""),""))</f>
        <v>4.0000000000000924E-2</v>
      </c>
      <c r="H209" s="64">
        <f t="array" ref="H209">+SUM(IF(Tbills!$A:$A='Bill subs'!A209,IF(Tbills!$C:$C=91,Tbills!$M:$M,""),""))</f>
        <v>0.10999999999999943</v>
      </c>
    </row>
    <row r="210" spans="1:8" x14ac:dyDescent="0.2">
      <c r="A210" s="52">
        <v>44587</v>
      </c>
      <c r="B210" s="64">
        <f>+SUMIF(Table13[Date_d],'Bill subs'!$A210,Table13[Amount Offered])</f>
        <v>80500</v>
      </c>
      <c r="C210" s="64">
        <f>+SUMIF(Table13[Date_d],'Bill subs'!$A210,Table13[Bid Received])</f>
        <v>194441</v>
      </c>
      <c r="D210" s="64">
        <f>+SUMIF(Table13[Date_d],'Bill subs'!$A210,Table13[Bid Accepted])</f>
        <v>80500</v>
      </c>
      <c r="E210" s="7">
        <f t="shared" si="6"/>
        <v>0</v>
      </c>
      <c r="F210" s="77">
        <f t="shared" si="7"/>
        <v>1</v>
      </c>
      <c r="G210" s="64">
        <f t="array" ref="G210">+SUM(IF(Tbills!$A:$A='Bill subs'!A210,IF(Tbills!$C:$C=364,Tbills!$M:$M,""),""))</f>
        <v>7.0000000000000284E-2</v>
      </c>
      <c r="H210" s="64">
        <f t="array" ref="H210">+SUM(IF(Tbills!$A:$A='Bill subs'!A210,IF(Tbills!$C:$C=91,Tbills!$M:$M,""),""))</f>
        <v>0.14000000000000057</v>
      </c>
    </row>
    <row r="211" spans="1:8" x14ac:dyDescent="0.2">
      <c r="A211" s="52">
        <v>44594</v>
      </c>
      <c r="B211" s="64">
        <f>+SUMIF(Table13[Date_d],'Bill subs'!$A211,Table13[Amount Offered])</f>
        <v>88500</v>
      </c>
      <c r="C211" s="64">
        <f>+SUMIF(Table13[Date_d],'Bill subs'!$A211,Table13[Bid Received])</f>
        <v>234713</v>
      </c>
      <c r="D211" s="64">
        <f>+SUMIF(Table13[Date_d],'Bill subs'!$A211,Table13[Bid Accepted])</f>
        <v>88500</v>
      </c>
      <c r="E211" s="7">
        <f t="shared" si="6"/>
        <v>0</v>
      </c>
      <c r="F211" s="77">
        <f t="shared" si="7"/>
        <v>1</v>
      </c>
      <c r="G211" s="64">
        <f t="array" ref="G211">+SUM(IF(Tbills!$A:$A='Bill subs'!A211,IF(Tbills!$C:$C=364,Tbills!$M:$M,""),""))</f>
        <v>0</v>
      </c>
      <c r="H211" s="64">
        <f t="array" ref="H211">+SUM(IF(Tbills!$A:$A='Bill subs'!A211,IF(Tbills!$C:$C=91,Tbills!$M:$M,""),""))</f>
        <v>-4.0000000000000924E-2</v>
      </c>
    </row>
    <row r="212" spans="1:8" x14ac:dyDescent="0.2">
      <c r="A212" s="52">
        <v>44601</v>
      </c>
      <c r="B212" s="64">
        <f>+SUMIF(Table13[Date_d],'Bill subs'!$A212,Table13[Amount Offered])</f>
        <v>77000</v>
      </c>
      <c r="C212" s="64">
        <f>+SUMIF(Table13[Date_d],'Bill subs'!$A212,Table13[Bid Received])</f>
        <v>208609</v>
      </c>
      <c r="D212" s="64">
        <f>+SUMIF(Table13[Date_d],'Bill subs'!$A212,Table13[Bid Accepted])</f>
        <v>77000</v>
      </c>
      <c r="E212" s="7">
        <f t="shared" si="6"/>
        <v>0</v>
      </c>
      <c r="F212" s="77">
        <f t="shared" si="7"/>
        <v>1</v>
      </c>
      <c r="G212" s="64">
        <f t="array" ref="G212">+SUM(IF(Tbills!$A:$A='Bill subs'!A212,IF(Tbills!$C:$C=364,Tbills!$M:$M,""),""))</f>
        <v>-3.9999999999999147E-2</v>
      </c>
      <c r="H212" s="64">
        <f t="array" ref="H212">+SUM(IF(Tbills!$A:$A='Bill subs'!A212,IF(Tbills!$C:$C=91,Tbills!$M:$M,""),""))</f>
        <v>-7.0000000000000284E-2</v>
      </c>
    </row>
    <row r="213" spans="1:8" x14ac:dyDescent="0.2">
      <c r="A213" s="52">
        <v>44607</v>
      </c>
      <c r="B213" s="64">
        <f>+SUMIF(Table13[Date_d],'Bill subs'!$A213,Table13[Amount Offered])</f>
        <v>79000</v>
      </c>
      <c r="C213" s="64">
        <f>+SUMIF(Table13[Date_d],'Bill subs'!$A213,Table13[Bid Received])</f>
        <v>154273</v>
      </c>
      <c r="D213" s="64">
        <f>+SUMIF(Table13[Date_d],'Bill subs'!$A213,Table13[Bid Accepted])</f>
        <v>79000</v>
      </c>
      <c r="E213" s="7">
        <f t="shared" si="6"/>
        <v>0</v>
      </c>
      <c r="F213" s="77">
        <f t="shared" si="7"/>
        <v>1</v>
      </c>
      <c r="G213" s="64">
        <f t="array" ref="G213">+SUM(IF(Tbills!$A:$A='Bill subs'!A213,IF(Tbills!$C:$C=364,Tbills!$M:$M,""),""))</f>
        <v>-1.9999999999999574E-2</v>
      </c>
      <c r="H213" s="64">
        <f t="array" ref="H213">+SUM(IF(Tbills!$A:$A='Bill subs'!A213,IF(Tbills!$C:$C=91,Tbills!$M:$M,""),""))</f>
        <v>-1.9999999999999574E-2</v>
      </c>
    </row>
    <row r="214" spans="1:8" x14ac:dyDescent="0.2">
      <c r="A214" s="52">
        <v>44615</v>
      </c>
      <c r="B214" s="64">
        <f>+SUMIF(Table13[Date_d],'Bill subs'!$A214,Table13[Amount Offered])</f>
        <v>80000</v>
      </c>
      <c r="C214" s="64">
        <f>+SUMIF(Table13[Date_d],'Bill subs'!$A214,Table13[Bid Received])</f>
        <v>139918</v>
      </c>
      <c r="D214" s="64">
        <f>+SUMIF(Table13[Date_d],'Bill subs'!$A214,Table13[Bid Accepted])</f>
        <v>64556</v>
      </c>
      <c r="E214" s="7">
        <f t="shared" si="6"/>
        <v>-15444</v>
      </c>
      <c r="F214" s="77">
        <f t="shared" si="7"/>
        <v>0.80694999999999995</v>
      </c>
      <c r="G214" s="64">
        <f t="array" ref="G214">+SUM(IF(Tbills!$A:$A='Bill subs'!A214,IF(Tbills!$C:$C=364,Tbills!$M:$M,""),""))</f>
        <v>-4.0000000000000924E-2</v>
      </c>
      <c r="H214" s="64">
        <f t="array" ref="H214">+SUM(IF(Tbills!$A:$A='Bill subs'!A214,IF(Tbills!$C:$C=91,Tbills!$M:$M,""),""))</f>
        <v>0.10999999999999943</v>
      </c>
    </row>
    <row r="215" spans="1:8" x14ac:dyDescent="0.2">
      <c r="A215" s="52">
        <v>44622</v>
      </c>
      <c r="B215" s="64">
        <f>+SUMIF(Table13[Date_d],'Bill subs'!$A215,Table13[Amount Offered])</f>
        <v>55000</v>
      </c>
      <c r="C215" s="64">
        <f>+SUMIF(Table13[Date_d],'Bill subs'!$A215,Table13[Bid Received])</f>
        <v>72339</v>
      </c>
      <c r="D215" s="64">
        <f>+SUMIF(Table13[Date_d],'Bill subs'!$A215,Table13[Bid Accepted])</f>
        <v>35953</v>
      </c>
      <c r="E215" s="7">
        <f t="shared" si="6"/>
        <v>-19047</v>
      </c>
      <c r="F215" s="77">
        <f t="shared" si="7"/>
        <v>0.6536909090909091</v>
      </c>
      <c r="G215" s="64">
        <f t="array" ref="G215">+SUM(IF(Tbills!$A:$A='Bill subs'!A215,IF(Tbills!$C:$C=364,Tbills!$M:$M,""),""))</f>
        <v>1.42</v>
      </c>
      <c r="H215" s="64">
        <f t="array" ref="H215">+SUM(IF(Tbills!$A:$A='Bill subs'!A215,IF(Tbills!$C:$C=91,Tbills!$M:$M,""),""))</f>
        <v>0.72000000000000064</v>
      </c>
    </row>
    <row r="216" spans="1:8" x14ac:dyDescent="0.2">
      <c r="A216" s="52">
        <v>44629</v>
      </c>
      <c r="B216" s="64">
        <f>+SUMIF(Table13[Date_d],'Bill subs'!$A216,Table13[Amount Offered])</f>
        <v>60000</v>
      </c>
      <c r="C216" s="64">
        <f>+SUMIF(Table13[Date_d],'Bill subs'!$A216,Table13[Bid Received])</f>
        <v>120469</v>
      </c>
      <c r="D216" s="64">
        <f>+SUMIF(Table13[Date_d],'Bill subs'!$A216,Table13[Bid Accepted])</f>
        <v>60000</v>
      </c>
      <c r="E216" s="7">
        <f t="shared" si="6"/>
        <v>0</v>
      </c>
      <c r="F216" s="77">
        <f t="shared" si="7"/>
        <v>1</v>
      </c>
      <c r="G216" s="64">
        <f t="array" ref="G216">+SUM(IF(Tbills!$A:$A='Bill subs'!A216,IF(Tbills!$C:$C=364,Tbills!$M:$M,""),""))</f>
        <v>0.71000000000000085</v>
      </c>
      <c r="H216" s="64">
        <f t="array" ref="H216">+SUM(IF(Tbills!$A:$A='Bill subs'!A216,IF(Tbills!$C:$C=91,Tbills!$M:$M,""),""))</f>
        <v>0.95999999999999908</v>
      </c>
    </row>
    <row r="217" spans="1:8" x14ac:dyDescent="0.2">
      <c r="A217" s="52">
        <v>44635</v>
      </c>
      <c r="B217" s="64">
        <f>+SUMIF(Table13[Date_d],'Bill subs'!$A217,Table13[Amount Offered])</f>
        <v>60000</v>
      </c>
      <c r="C217" s="64">
        <f>+SUMIF(Table13[Date_d],'Bill subs'!$A217,Table13[Bid Received])</f>
        <v>119194</v>
      </c>
      <c r="D217" s="64">
        <f>+SUMIF(Table13[Date_d],'Bill subs'!$A217,Table13[Bid Accepted])</f>
        <v>54838</v>
      </c>
      <c r="E217" s="7">
        <f t="shared" si="6"/>
        <v>-5162</v>
      </c>
      <c r="F217" s="77">
        <f t="shared" si="7"/>
        <v>0.9139666666666667</v>
      </c>
      <c r="G217" s="64">
        <f t="array" ref="G217">+SUM(IF(Tbills!$A:$A='Bill subs'!A217,IF(Tbills!$C:$C=364,Tbills!$M:$M,""),""))</f>
        <v>0.49000000000000021</v>
      </c>
      <c r="H217" s="64">
        <f t="array" ref="H217">+SUM(IF(Tbills!$A:$A='Bill subs'!A217,IF(Tbills!$C:$C=91,Tbills!$M:$M,""),""))</f>
        <v>1.0600000000000005</v>
      </c>
    </row>
    <row r="218" spans="1:8" x14ac:dyDescent="0.2">
      <c r="A218" s="52">
        <v>44643</v>
      </c>
      <c r="B218" s="64">
        <f>+SUMIF(Table13[Date_d],'Bill subs'!$A218,Table13[Amount Offered])</f>
        <v>56500</v>
      </c>
      <c r="C218" s="64">
        <f>+SUMIF(Table13[Date_d],'Bill subs'!$A218,Table13[Bid Received])</f>
        <v>109274</v>
      </c>
      <c r="D218" s="64">
        <f>+SUMIF(Table13[Date_d],'Bill subs'!$A218,Table13[Bid Accepted])</f>
        <v>56500</v>
      </c>
      <c r="E218" s="7">
        <f t="shared" si="6"/>
        <v>0</v>
      </c>
      <c r="F218" s="77">
        <f t="shared" si="7"/>
        <v>1</v>
      </c>
      <c r="G218" s="64">
        <f t="array" ref="G218">+SUM(IF(Tbills!$A:$A='Bill subs'!A218,IF(Tbills!$C:$C=364,Tbills!$M:$M,""),""))</f>
        <v>0.84999999999999964</v>
      </c>
      <c r="H218" s="64">
        <f t="array" ref="H218">+SUM(IF(Tbills!$A:$A='Bill subs'!A218,IF(Tbills!$C:$C=91,Tbills!$M:$M,""),""))</f>
        <v>0.75</v>
      </c>
    </row>
    <row r="219" spans="1:8" x14ac:dyDescent="0.2">
      <c r="A219" s="52">
        <v>44650</v>
      </c>
      <c r="B219" s="64">
        <f>+SUMIF(Table13[Date_d],'Bill subs'!$A219,Table13[Amount Offered])</f>
        <v>48000</v>
      </c>
      <c r="C219" s="64">
        <f>+SUMIF(Table13[Date_d],'Bill subs'!$A219,Table13[Bid Received])</f>
        <v>91202</v>
      </c>
      <c r="D219" s="64">
        <f>+SUMIF(Table13[Date_d],'Bill subs'!$A219,Table13[Bid Accepted])</f>
        <v>48000</v>
      </c>
      <c r="E219" s="7">
        <f t="shared" si="6"/>
        <v>0</v>
      </c>
      <c r="F219" s="77">
        <f t="shared" si="7"/>
        <v>1</v>
      </c>
      <c r="G219" s="64">
        <f t="array" ref="G219">+SUM(IF(Tbills!$A:$A='Bill subs'!A219,IF(Tbills!$C:$C=364,Tbills!$M:$M,""),""))</f>
        <v>0.27999999999999936</v>
      </c>
      <c r="H219" s="64">
        <f t="array" ref="H219">+SUM(IF(Tbills!$A:$A='Bill subs'!A219,IF(Tbills!$C:$C=91,Tbills!$M:$M,""),""))</f>
        <v>0.82000000000000028</v>
      </c>
    </row>
    <row r="220" spans="1:8" x14ac:dyDescent="0.2">
      <c r="A220" s="52">
        <v>44657</v>
      </c>
      <c r="B220" s="64">
        <f>+SUMIF(Table13[Date_d],'Bill subs'!$A220,Table13[Amount Offered])</f>
        <v>80000</v>
      </c>
      <c r="C220" s="64">
        <f>+SUMIF(Table13[Date_d],'Bill subs'!$A220,Table13[Bid Received])</f>
        <v>116765</v>
      </c>
      <c r="D220" s="64">
        <f>+SUMIF(Table13[Date_d],'Bill subs'!$A220,Table13[Bid Accepted])</f>
        <v>72880</v>
      </c>
      <c r="E220" s="7">
        <f t="shared" si="6"/>
        <v>-7120</v>
      </c>
      <c r="F220" s="77">
        <f t="shared" si="7"/>
        <v>0.91100000000000003</v>
      </c>
      <c r="G220" s="64">
        <f t="array" ref="G220">+SUM(IF(Tbills!$A:$A='Bill subs'!A220,IF(Tbills!$C:$C=364,Tbills!$M:$M,""),""))</f>
        <v>3.41</v>
      </c>
      <c r="H220" s="64">
        <f t="array" ref="H220">+SUM(IF(Tbills!$A:$A='Bill subs'!A220,IF(Tbills!$C:$C=91,Tbills!$M:$M,""),""))</f>
        <v>1.1999999999999993</v>
      </c>
    </row>
    <row r="221" spans="1:8" x14ac:dyDescent="0.2">
      <c r="A221" s="52">
        <v>44662</v>
      </c>
      <c r="B221" s="64">
        <f>+SUMIF(Table13[Date_d],'Bill subs'!$A221,Table13[Amount Offered])</f>
        <v>87500</v>
      </c>
      <c r="C221" s="64">
        <f>+SUMIF(Table13[Date_d],'Bill subs'!$A221,Table13[Bid Received])</f>
        <v>108742</v>
      </c>
      <c r="D221" s="64">
        <f>+SUMIF(Table13[Date_d],'Bill subs'!$A221,Table13[Bid Accepted])</f>
        <v>81998</v>
      </c>
      <c r="E221" s="7">
        <f t="shared" si="6"/>
        <v>-5502</v>
      </c>
      <c r="F221" s="77">
        <f t="shared" si="7"/>
        <v>0.93711999999999995</v>
      </c>
      <c r="G221" s="64">
        <f t="array" ref="G221">+SUM(IF(Tbills!$A:$A='Bill subs'!A221,IF(Tbills!$C:$C=364,Tbills!$M:$M,""),""))</f>
        <v>7.67</v>
      </c>
      <c r="H221" s="64">
        <f t="array" ref="H221">+SUM(IF(Tbills!$A:$A='Bill subs'!A221,IF(Tbills!$C:$C=91,Tbills!$M:$M,""),""))</f>
        <v>5.5900000000000016</v>
      </c>
    </row>
    <row r="222" spans="1:8" x14ac:dyDescent="0.2">
      <c r="A222" s="52">
        <v>44671</v>
      </c>
      <c r="B222" s="64">
        <f>+SUMIF(Table13[Date_d],'Bill subs'!$A222,Table13[Amount Offered])</f>
        <v>97500</v>
      </c>
      <c r="C222" s="64">
        <f>+SUMIF(Table13[Date_d],'Bill subs'!$A222,Table13[Bid Received])</f>
        <v>162120</v>
      </c>
      <c r="D222" s="64">
        <f>+SUMIF(Table13[Date_d],'Bill subs'!$A222,Table13[Bid Accepted])</f>
        <v>48066</v>
      </c>
      <c r="E222" s="7">
        <f t="shared" si="6"/>
        <v>-49434</v>
      </c>
      <c r="F222" s="77">
        <f t="shared" si="7"/>
        <v>0.49298461538461541</v>
      </c>
      <c r="G222" s="64">
        <f t="array" ref="G222">+SUM(IF(Tbills!$A:$A='Bill subs'!A222,IF(Tbills!$C:$C=364,Tbills!$M:$M,""),""))</f>
        <v>1</v>
      </c>
      <c r="H222" s="64">
        <f t="array" ref="H222">+SUM(IF(Tbills!$A:$A='Bill subs'!A222,IF(Tbills!$C:$C=91,Tbills!$M:$M,""),""))</f>
        <v>3.5</v>
      </c>
    </row>
    <row r="223" spans="1:8" x14ac:dyDescent="0.2">
      <c r="A223" s="70">
        <v>44678</v>
      </c>
      <c r="B223" s="64">
        <f>+SUMIF(Table13[Date_d],'Bill subs'!$A223,Table13[Amount Offered])</f>
        <v>87500</v>
      </c>
      <c r="C223" s="64">
        <f>+SUMIF(Table13[Date_d],'Bill subs'!$A223,Table13[Bid Received])</f>
        <v>175922</v>
      </c>
      <c r="D223" s="64">
        <f>+SUMIF(Table13[Date_d],'Bill subs'!$A223,Table13[Bid Accepted])</f>
        <v>87500</v>
      </c>
      <c r="E223" s="7">
        <f t="shared" si="6"/>
        <v>0</v>
      </c>
      <c r="F223" s="77">
        <f t="shared" si="7"/>
        <v>1</v>
      </c>
      <c r="G223" s="64">
        <f t="array" ref="G223">+SUM(IF(Tbills!$A:$A='Bill subs'!A223,IF(Tbills!$C:$C=364,Tbills!$M:$M,""),""))</f>
        <v>-0.26999999999999957</v>
      </c>
      <c r="H223" s="64">
        <f t="array" ref="H223">+SUM(IF(Tbills!$A:$A='Bill subs'!A223,IF(Tbills!$C:$C=91,Tbills!$M:$M,""),""))</f>
        <v>0.32000000000000028</v>
      </c>
    </row>
    <row r="224" spans="1:8" x14ac:dyDescent="0.2">
      <c r="A224" s="52">
        <v>44685</v>
      </c>
      <c r="B224" s="64">
        <f>+SUMIF(Table13[Date_d],'Bill subs'!$A224,Table13[Amount Offered])</f>
        <v>97500</v>
      </c>
      <c r="C224" s="64">
        <f>+SUMIF(Table13[Date_d],'Bill subs'!$A224,Table13[Bid Received])</f>
        <v>189185</v>
      </c>
      <c r="D224" s="64">
        <f>+SUMIF(Table13[Date_d],'Bill subs'!$A224,Table13[Bid Accepted])</f>
        <v>97500</v>
      </c>
      <c r="E224" s="7">
        <f t="shared" si="6"/>
        <v>0</v>
      </c>
      <c r="F224" s="77">
        <f t="shared" si="7"/>
        <v>1</v>
      </c>
      <c r="G224" s="64">
        <f t="array" ref="G224">+SUM(IF(Tbills!$A:$A='Bill subs'!A224,IF(Tbills!$C:$C=364,Tbills!$M:$M,""),""))</f>
        <v>-0.16999999999999815</v>
      </c>
      <c r="H224" s="64">
        <f t="array" ref="H224">+SUM(IF(Tbills!$A:$A='Bill subs'!A224,IF(Tbills!$C:$C=91,Tbills!$M:$M,""),""))</f>
        <v>-5.0000000000000711E-2</v>
      </c>
    </row>
    <row r="225" spans="1:8" x14ac:dyDescent="0.2">
      <c r="A225" s="70">
        <v>44692</v>
      </c>
      <c r="B225" s="64">
        <f>+SUMIF(Table13[Date_d],'Bill subs'!$A225,Table13[Amount Offered])</f>
        <v>92500</v>
      </c>
      <c r="C225" s="64">
        <f>+SUMIF(Table13[Date_d],'Bill subs'!$A225,Table13[Bid Received])</f>
        <v>151522</v>
      </c>
      <c r="D225" s="64">
        <f>+SUMIF(Table13[Date_d],'Bill subs'!$A225,Table13[Bid Accepted])</f>
        <v>85399</v>
      </c>
      <c r="E225" s="7">
        <f t="shared" si="6"/>
        <v>-7101</v>
      </c>
      <c r="F225" s="77">
        <f t="shared" si="7"/>
        <v>0.92323243243243247</v>
      </c>
      <c r="G225" s="64">
        <f t="array" ref="G225">+SUM(IF(Tbills!$A:$A='Bill subs'!A225,IF(Tbills!$C:$C=364,Tbills!$M:$M,""),""))</f>
        <v>0.57999999999999829</v>
      </c>
      <c r="H225" s="64">
        <f t="array" ref="H225">+SUM(IF(Tbills!$A:$A='Bill subs'!A225,IF(Tbills!$C:$C=91,Tbills!$M:$M,""),""))</f>
        <v>0.58999999999999986</v>
      </c>
    </row>
    <row r="226" spans="1:8" x14ac:dyDescent="0.2">
      <c r="A226" s="52">
        <v>44699</v>
      </c>
      <c r="B226" s="64">
        <f>+SUMIF(Table13[Date_d],'Bill subs'!$A226,Table13[Amount Offered])</f>
        <v>90000</v>
      </c>
      <c r="C226" s="64">
        <f>+SUMIF(Table13[Date_d],'Bill subs'!$A226,Table13[Bid Received])</f>
        <v>135210</v>
      </c>
      <c r="D226" s="64">
        <f>+SUMIF(Table13[Date_d],'Bill subs'!$A226,Table13[Bid Accepted])</f>
        <v>16475</v>
      </c>
      <c r="E226" s="7">
        <f t="shared" si="6"/>
        <v>-73525</v>
      </c>
      <c r="F226" s="77">
        <f t="shared" si="7"/>
        <v>0.18305555555555555</v>
      </c>
      <c r="G226" s="64">
        <f t="array" ref="G226">+SUM(IF(Tbills!$A:$A='Bill subs'!A226,IF(Tbills!$C:$C=364,Tbills!$M:$M,""),""))</f>
        <v>0</v>
      </c>
      <c r="H226" s="64">
        <f t="array" ref="H226">+SUM(IF(Tbills!$A:$A='Bill subs'!A226,IF(Tbills!$C:$C=91,Tbills!$M:$M,""),""))</f>
        <v>0</v>
      </c>
    </row>
    <row r="227" spans="1:8" x14ac:dyDescent="0.2">
      <c r="A227" s="70">
        <v>44706</v>
      </c>
      <c r="B227" s="64">
        <f>+SUMIF(Table13[Date_d],'Bill subs'!$A227,Table13[Amount Offered])</f>
        <v>90000</v>
      </c>
      <c r="C227" s="64">
        <f>+SUMIF(Table13[Date_d],'Bill subs'!$A227,Table13[Bid Received])</f>
        <v>213160</v>
      </c>
      <c r="D227" s="64">
        <f>+SUMIF(Table13[Date_d],'Bill subs'!$A227,Table13[Bid Accepted])</f>
        <v>90000</v>
      </c>
      <c r="E227" s="7">
        <f t="shared" si="6"/>
        <v>0</v>
      </c>
      <c r="F227" s="77">
        <f t="shared" si="7"/>
        <v>1</v>
      </c>
      <c r="G227" s="64">
        <f t="array" ref="G227">+SUM(IF(Tbills!$A:$A='Bill subs'!A227,IF(Tbills!$C:$C=364,Tbills!$M:$M,""),""))</f>
        <v>-0.19999999999999929</v>
      </c>
      <c r="H227" s="64">
        <f t="array" ref="H227">+SUM(IF(Tbills!$A:$A='Bill subs'!A227,IF(Tbills!$C:$C=91,Tbills!$M:$M,""),""))</f>
        <v>-0.42000000000000171</v>
      </c>
    </row>
    <row r="228" spans="1:8" x14ac:dyDescent="0.2">
      <c r="A228" s="52">
        <v>44713</v>
      </c>
      <c r="B228" s="64">
        <f>+SUMIF(Table13[Date_d],'Bill subs'!$A228,Table13[Amount Offered])</f>
        <v>83000</v>
      </c>
      <c r="C228" s="64">
        <f>+SUMIF(Table13[Date_d],'Bill subs'!$A228,Table13[Bid Received])</f>
        <v>243711</v>
      </c>
      <c r="D228" s="64">
        <f>+SUMIF(Table13[Date_d],'Bill subs'!$A228,Table13[Bid Accepted])</f>
        <v>83000</v>
      </c>
      <c r="E228" s="7">
        <f t="shared" si="6"/>
        <v>0</v>
      </c>
      <c r="F228" s="77">
        <f t="shared" si="7"/>
        <v>1</v>
      </c>
      <c r="G228" s="64">
        <f t="array" ref="G228">+SUM(IF(Tbills!$A:$A='Bill subs'!A228,IF(Tbills!$C:$C=364,Tbills!$M:$M,""),""))</f>
        <v>-0.55000000000000071</v>
      </c>
      <c r="H228" s="64">
        <f t="array" ref="H228">+SUM(IF(Tbills!$A:$A='Bill subs'!A228,IF(Tbills!$C:$C=91,Tbills!$M:$M,""),""))</f>
        <v>-0.89999999999999858</v>
      </c>
    </row>
    <row r="229" spans="1:8" x14ac:dyDescent="0.2">
      <c r="A229" s="70">
        <v>44720</v>
      </c>
      <c r="B229" s="64">
        <f>+SUMIF(Table13[Date_d],'Bill subs'!$A229,Table13[Amount Offered])</f>
        <v>98000</v>
      </c>
      <c r="C229" s="64">
        <f>+SUMIF(Table13[Date_d],'Bill subs'!$A229,Table13[Bid Received])</f>
        <v>260565</v>
      </c>
      <c r="D229" s="64">
        <f>+SUMIF(Table13[Date_d],'Bill subs'!$A229,Table13[Bid Accepted])</f>
        <v>98000</v>
      </c>
      <c r="E229" s="7">
        <f t="shared" si="6"/>
        <v>0</v>
      </c>
      <c r="F229" s="77">
        <f t="shared" si="7"/>
        <v>1</v>
      </c>
      <c r="G229" s="64">
        <f t="array" ref="G229">+SUM(IF(Tbills!$A:$A='Bill subs'!A229,IF(Tbills!$C:$C=364,Tbills!$M:$M,""),""))</f>
        <v>-0.62000000000000099</v>
      </c>
      <c r="H229" s="64">
        <f t="array" ref="H229">+SUM(IF(Tbills!$A:$A='Bill subs'!A229,IF(Tbills!$C:$C=91,Tbills!$M:$M,""),""))</f>
        <v>-0.83999999999999986</v>
      </c>
    </row>
    <row r="230" spans="1:8" x14ac:dyDescent="0.2">
      <c r="A230" s="52">
        <v>44727</v>
      </c>
      <c r="B230" s="64">
        <f>+SUMIF(Table13[Date_d],'Bill subs'!$A230,Table13[Amount Offered])</f>
        <v>98000</v>
      </c>
      <c r="C230" s="64">
        <f>+SUMIF(Table13[Date_d],'Bill subs'!$A230,Table13[Bid Received])</f>
        <v>202222</v>
      </c>
      <c r="D230" s="64">
        <f>+SUMIF(Table13[Date_d],'Bill subs'!$A230,Table13[Bid Accepted])</f>
        <v>98000</v>
      </c>
      <c r="E230" s="7">
        <f t="shared" si="6"/>
        <v>0</v>
      </c>
      <c r="F230" s="77">
        <f t="shared" si="7"/>
        <v>1</v>
      </c>
      <c r="G230" s="64">
        <f t="array" ref="G230">+SUM(IF(Tbills!$A:$A='Bill subs'!A230,IF(Tbills!$C:$C=364,Tbills!$M:$M,""),""))</f>
        <v>-1.0899999999999999</v>
      </c>
      <c r="H230" s="64">
        <f t="array" ref="H230">+SUM(IF(Tbills!$A:$A='Bill subs'!A230,IF(Tbills!$C:$C=91,Tbills!$M:$M,""),""))</f>
        <v>-1.1799999999999997</v>
      </c>
    </row>
    <row r="231" spans="1:8" x14ac:dyDescent="0.2">
      <c r="A231" s="70">
        <v>44734</v>
      </c>
      <c r="B231" s="64">
        <f>+SUMIF(Table13[Date_d],'Bill subs'!$A231,Table13[Amount Offered])</f>
        <v>93000</v>
      </c>
      <c r="C231" s="64">
        <f>+SUMIF(Table13[Date_d],'Bill subs'!$A231,Table13[Bid Received])</f>
        <v>129902</v>
      </c>
      <c r="D231" s="64">
        <f>+SUMIF(Table13[Date_d],'Bill subs'!$A231,Table13[Bid Accepted])</f>
        <v>30779</v>
      </c>
      <c r="E231" s="7">
        <f t="shared" si="6"/>
        <v>-62221</v>
      </c>
      <c r="F231" s="77">
        <f t="shared" si="7"/>
        <v>0.33095698924731182</v>
      </c>
      <c r="G231" s="64">
        <f t="array" ref="G231">+SUM(IF(Tbills!$A:$A='Bill subs'!A231,IF(Tbills!$C:$C=364,Tbills!$M:$M,""),""))</f>
        <v>0</v>
      </c>
      <c r="H231" s="64">
        <f t="array" ref="H231">+SUM(IF(Tbills!$A:$A='Bill subs'!A231,IF(Tbills!$C:$C=91,Tbills!$M:$M,""),""))</f>
        <v>0</v>
      </c>
    </row>
    <row r="232" spans="1:8" x14ac:dyDescent="0.2">
      <c r="A232" s="52">
        <v>44741</v>
      </c>
      <c r="B232" s="64">
        <f>+SUMIF(Table13[Date_d],'Bill subs'!$A232,Table13[Amount Offered])</f>
        <v>77500</v>
      </c>
      <c r="C232" s="64">
        <f>+SUMIF(Table13[Date_d],'Bill subs'!$A232,Table13[Bid Received])</f>
        <v>112179</v>
      </c>
      <c r="D232" s="64">
        <f>+SUMIF(Table13[Date_d],'Bill subs'!$A232,Table13[Bid Accepted])</f>
        <v>71169</v>
      </c>
      <c r="E232" s="7">
        <f t="shared" si="6"/>
        <v>-6331</v>
      </c>
      <c r="F232" s="77">
        <f t="shared" si="7"/>
        <v>0.91830967741935488</v>
      </c>
      <c r="G232" s="64">
        <f t="array" ref="G232">+SUM(IF(Tbills!$A:$A='Bill subs'!A232,IF(Tbills!$C:$C=364,Tbills!$M:$M,""),""))</f>
        <v>1.8000000000000007</v>
      </c>
      <c r="H232" s="64">
        <f t="array" ref="H232">+SUM(IF(Tbills!$A:$A='Bill subs'!A232,IF(Tbills!$C:$C=91,Tbills!$M:$M,""),""))</f>
        <v>3.120000000000001</v>
      </c>
    </row>
    <row r="233" spans="1:8" x14ac:dyDescent="0.2">
      <c r="A233" s="70">
        <v>44748</v>
      </c>
      <c r="B233" s="64">
        <f>+SUMIF(Table13[Date_d],'Bill subs'!$A233,Table13[Amount Offered])</f>
        <v>70000</v>
      </c>
      <c r="C233" s="64">
        <f>+SUMIF(Table13[Date_d],'Bill subs'!$A233,Table13[Bid Received])</f>
        <v>83866</v>
      </c>
      <c r="D233" s="64">
        <f>+SUMIF(Table13[Date_d],'Bill subs'!$A233,Table13[Bid Accepted])</f>
        <v>70000</v>
      </c>
      <c r="E233" s="7">
        <f t="shared" si="6"/>
        <v>0</v>
      </c>
      <c r="F233" s="77">
        <f t="shared" si="7"/>
        <v>1</v>
      </c>
      <c r="G233" s="64">
        <f t="array" ref="G233">+SUM(IF(Tbills!$A:$A='Bill subs'!A233,IF(Tbills!$C:$C=364,Tbills!$M:$M,""),""))</f>
        <v>4.2699999999999996</v>
      </c>
      <c r="H233" s="64">
        <f t="array" ref="H233">+SUM(IF(Tbills!$A:$A='Bill subs'!A233,IF(Tbills!$C:$C=91,Tbills!$M:$M,""),""))</f>
        <v>4.2299999999999969</v>
      </c>
    </row>
    <row r="234" spans="1:8" x14ac:dyDescent="0.2">
      <c r="A234" s="52">
        <v>44754</v>
      </c>
      <c r="B234" s="64">
        <f>+SUMIF(Table13[Date_d],'Bill subs'!$A234,Table13[Amount Offered])</f>
        <v>65000</v>
      </c>
      <c r="C234" s="64">
        <f>+SUMIF(Table13[Date_d],'Bill subs'!$A234,Table13[Bid Received])</f>
        <v>102567</v>
      </c>
      <c r="D234" s="64">
        <f>+SUMIF(Table13[Date_d],'Bill subs'!$A234,Table13[Bid Accepted])</f>
        <v>53714</v>
      </c>
      <c r="E234" s="7">
        <f t="shared" si="6"/>
        <v>-11286</v>
      </c>
      <c r="F234" s="77">
        <f t="shared" si="7"/>
        <v>0.82636923076923074</v>
      </c>
      <c r="G234" s="64">
        <f t="array" ref="G234">+SUM(IF(Tbills!$A:$A='Bill subs'!A234,IF(Tbills!$C:$C=364,Tbills!$M:$M,""),""))</f>
        <v>1.7600000000000016</v>
      </c>
      <c r="H234" s="64">
        <f t="array" ref="H234">+SUM(IF(Tbills!$A:$A='Bill subs'!A234,IF(Tbills!$C:$C=91,Tbills!$M:$M,""),""))</f>
        <v>4.0300000000000011</v>
      </c>
    </row>
    <row r="235" spans="1:8" x14ac:dyDescent="0.2">
      <c r="A235" s="70">
        <v>44762</v>
      </c>
      <c r="B235" s="64">
        <f>+SUMIF(Table13[Date_d],'Bill subs'!$A235,Table13[Amount Offered])</f>
        <v>55000</v>
      </c>
      <c r="C235" s="64">
        <f>+SUMIF(Table13[Date_d],'Bill subs'!$A235,Table13[Bid Received])</f>
        <v>159266</v>
      </c>
      <c r="D235" s="64">
        <f>+SUMIF(Table13[Date_d],'Bill subs'!$A235,Table13[Bid Accepted])</f>
        <v>55000</v>
      </c>
      <c r="E235" s="7">
        <f t="shared" si="6"/>
        <v>0</v>
      </c>
      <c r="F235" s="77">
        <f t="shared" si="7"/>
        <v>1</v>
      </c>
      <c r="G235" s="64">
        <f t="array" ref="G235">+SUM(IF(Tbills!$A:$A='Bill subs'!A235,IF(Tbills!$C:$C=364,Tbills!$M:$M,""),""))</f>
        <v>-5.0000000000000711E-2</v>
      </c>
      <c r="H235" s="64">
        <f t="array" ref="H235">+SUM(IF(Tbills!$A:$A='Bill subs'!A235,IF(Tbills!$C:$C=91,Tbills!$M:$M,""),""))</f>
        <v>-0.60999999999999943</v>
      </c>
    </row>
    <row r="236" spans="1:8" x14ac:dyDescent="0.2">
      <c r="A236" s="52">
        <v>44769</v>
      </c>
      <c r="B236" s="64">
        <f>+SUMIF(Table13[Date_d],'Bill subs'!$A236,Table13[Amount Offered])</f>
        <v>85000</v>
      </c>
      <c r="C236" s="64">
        <f>+SUMIF(Table13[Date_d],'Bill subs'!$A236,Table13[Bid Received])</f>
        <v>183559</v>
      </c>
      <c r="D236" s="64">
        <f>+SUMIF(Table13[Date_d],'Bill subs'!$A236,Table13[Bid Accepted])</f>
        <v>85000</v>
      </c>
      <c r="E236" s="7">
        <f t="shared" si="6"/>
        <v>0</v>
      </c>
      <c r="F236" s="77">
        <f t="shared" si="7"/>
        <v>1</v>
      </c>
      <c r="G236" s="64">
        <f t="array" ref="G236">+SUM(IF(Tbills!$A:$A='Bill subs'!A236,IF(Tbills!$C:$C=364,Tbills!$M:$M,""),""))</f>
        <v>-0.26999999999999957</v>
      </c>
      <c r="H236" s="64">
        <f t="array" ref="H236">+SUM(IF(Tbills!$A:$A='Bill subs'!A236,IF(Tbills!$C:$C=91,Tbills!$M:$M,""),""))</f>
        <v>-2.6400000000000006</v>
      </c>
    </row>
    <row r="237" spans="1:8" x14ac:dyDescent="0.2">
      <c r="A237" s="70">
        <v>44776</v>
      </c>
      <c r="B237" s="64">
        <f>+SUMIF(Table13[Date_d],'Bill subs'!$A237,Table13[Amount Offered])</f>
        <v>87500</v>
      </c>
      <c r="C237" s="64">
        <f>+SUMIF(Table13[Date_d],'Bill subs'!$A237,Table13[Bid Received])</f>
        <v>190700</v>
      </c>
      <c r="D237" s="64">
        <f>+SUMIF(Table13[Date_d],'Bill subs'!$A237,Table13[Bid Accepted])</f>
        <v>87500</v>
      </c>
      <c r="E237" s="7">
        <f t="shared" si="6"/>
        <v>0</v>
      </c>
      <c r="F237" s="77">
        <f t="shared" si="7"/>
        <v>1</v>
      </c>
      <c r="G237" s="64">
        <f t="array" ref="G237">+SUM(IF(Tbills!$A:$A='Bill subs'!A237,IF(Tbills!$C:$C=364,Tbills!$M:$M,""),""))</f>
        <v>-0.33999999999999986</v>
      </c>
      <c r="H237" s="64">
        <f t="array" ref="H237">+SUM(IF(Tbills!$A:$A='Bill subs'!A237,IF(Tbills!$C:$C=91,Tbills!$M:$M,""),""))</f>
        <v>-1.1400000000000006</v>
      </c>
    </row>
    <row r="238" spans="1:8" x14ac:dyDescent="0.2">
      <c r="A238" s="52">
        <v>44782</v>
      </c>
      <c r="B238" s="64">
        <f>+SUMIF(Table13[Date_d],'Bill subs'!$A238,Table13[Amount Offered])</f>
        <v>85000</v>
      </c>
      <c r="C238" s="64">
        <f>+SUMIF(Table13[Date_d],'Bill subs'!$A238,Table13[Bid Received])</f>
        <v>128635</v>
      </c>
      <c r="D238" s="64">
        <f>+SUMIF(Table13[Date_d],'Bill subs'!$A238,Table13[Bid Accepted])</f>
        <v>65899</v>
      </c>
      <c r="E238" s="7">
        <f t="shared" si="6"/>
        <v>-19101</v>
      </c>
      <c r="F238" s="77">
        <f t="shared" si="7"/>
        <v>0.77528235294117642</v>
      </c>
      <c r="G238" s="64">
        <f t="array" ref="G238">+SUM(IF(Tbills!$A:$A='Bill subs'!A238,IF(Tbills!$C:$C=364,Tbills!$M:$M,""),""))</f>
        <v>-4.00000000000027E-2</v>
      </c>
      <c r="H238" s="64">
        <f t="array" ref="H238">+SUM(IF(Tbills!$A:$A='Bill subs'!A238,IF(Tbills!$C:$C=91,Tbills!$M:$M,""),""))</f>
        <v>0.71000000000000085</v>
      </c>
    </row>
    <row r="239" spans="1:8" x14ac:dyDescent="0.2">
      <c r="A239" s="70">
        <v>44782</v>
      </c>
      <c r="B239" s="64">
        <f>+SUMIF(Table13[Date_d],'Bill subs'!$A239,Table13[Amount Offered])</f>
        <v>85000</v>
      </c>
      <c r="C239" s="64">
        <f>+SUMIF(Table13[Date_d],'Bill subs'!$A239,Table13[Bid Received])</f>
        <v>128635</v>
      </c>
      <c r="D239" s="64">
        <f>+SUMIF(Table13[Date_d],'Bill subs'!$A239,Table13[Bid Accepted])</f>
        <v>65899</v>
      </c>
      <c r="E239" s="7">
        <f t="shared" si="6"/>
        <v>-19101</v>
      </c>
      <c r="F239" s="77">
        <f t="shared" si="7"/>
        <v>0.77528235294117642</v>
      </c>
      <c r="G239" s="64">
        <f t="array" ref="G239">+SUM(IF(Tbills!$A:$A='Bill subs'!A239,IF(Tbills!$C:$C=364,Tbills!$M:$M,""),""))</f>
        <v>-4.00000000000027E-2</v>
      </c>
      <c r="H239" s="64">
        <f t="array" ref="H239">+SUM(IF(Tbills!$A:$A='Bill subs'!A239,IF(Tbills!$C:$C=91,Tbills!$M:$M,""),""))</f>
        <v>0.71000000000000085</v>
      </c>
    </row>
    <row r="240" spans="1:8" x14ac:dyDescent="0.2">
      <c r="A240" s="70">
        <v>44790</v>
      </c>
      <c r="B240" s="64">
        <f>+SUMIF(Table13[Date_d],'Bill subs'!$A240,Table13[Amount Offered])</f>
        <v>60000</v>
      </c>
      <c r="C240" s="64">
        <f>+SUMIF(Table13[Date_d],'Bill subs'!$A240,Table13[Bid Received])</f>
        <v>104824</v>
      </c>
      <c r="D240" s="64">
        <f>+SUMIF(Table13[Date_d],'Bill subs'!$A240,Table13[Bid Accepted])</f>
        <v>60000</v>
      </c>
      <c r="E240" s="7">
        <f t="shared" si="6"/>
        <v>0</v>
      </c>
      <c r="F240" s="77">
        <f t="shared" si="7"/>
        <v>1</v>
      </c>
      <c r="G240" s="64">
        <f t="array" ref="G240">+SUM(IF(Tbills!$A:$A='Bill subs'!A240,IF(Tbills!$C:$C=364,Tbills!$M:$M,""),""))</f>
        <v>-9.9999999999980105E-3</v>
      </c>
      <c r="H240" s="64">
        <f t="array" ref="H240">+SUM(IF(Tbills!$A:$A='Bill subs'!A240,IF(Tbills!$C:$C=91,Tbills!$M:$M,""),""))</f>
        <v>1.0100000000000016</v>
      </c>
    </row>
    <row r="241" spans="1:8" x14ac:dyDescent="0.2">
      <c r="A241" s="52">
        <v>44797</v>
      </c>
      <c r="B241" s="64">
        <f>+SUMIF(Table13[Date_d],'Bill subs'!$A241,Table13[Amount Offered])</f>
        <v>90000</v>
      </c>
      <c r="C241" s="64">
        <f>+SUMIF(Table13[Date_d],'Bill subs'!$A241,Table13[Bid Received])</f>
        <v>108899</v>
      </c>
      <c r="D241" s="64">
        <f>+SUMIF(Table13[Date_d],'Bill subs'!$A241,Table13[Bid Accepted])</f>
        <v>56713</v>
      </c>
      <c r="E241" s="7">
        <f t="shared" si="6"/>
        <v>-33287</v>
      </c>
      <c r="F241" s="77">
        <f t="shared" si="7"/>
        <v>0.6301444444444444</v>
      </c>
      <c r="G241" s="64">
        <f t="array" ref="G241">+SUM(IF(Tbills!$A:$A='Bill subs'!A241,IF(Tbills!$C:$C=364,Tbills!$M:$M,""),""))</f>
        <v>0.68999999999999773</v>
      </c>
      <c r="H241" s="64">
        <f t="array" ref="H241">+SUM(IF(Tbills!$A:$A='Bill subs'!A241,IF(Tbills!$C:$C=91,Tbills!$M:$M,""),""))</f>
        <v>1.0700000000000003</v>
      </c>
    </row>
    <row r="242" spans="1:8" x14ac:dyDescent="0.2">
      <c r="A242" s="70">
        <v>44804</v>
      </c>
      <c r="B242" s="64">
        <f>+SUMIF(Table13[Date_d],'Bill subs'!$A242,Table13[Amount Offered])</f>
        <v>67500</v>
      </c>
      <c r="C242" s="64">
        <f>+SUMIF(Table13[Date_d],'Bill subs'!$A242,Table13[Bid Received])</f>
        <v>95762</v>
      </c>
      <c r="D242" s="64">
        <f>+SUMIF(Table13[Date_d],'Bill subs'!$A242,Table13[Bid Accepted])</f>
        <v>49531</v>
      </c>
      <c r="E242" s="7">
        <f t="shared" si="6"/>
        <v>-17969</v>
      </c>
      <c r="F242" s="77">
        <f t="shared" si="7"/>
        <v>0.73379259259259255</v>
      </c>
      <c r="G242" s="64">
        <f t="array" ref="G242">+SUM(IF(Tbills!$A:$A='Bill subs'!A242,IF(Tbills!$C:$C=364,Tbills!$M:$M,""),""))</f>
        <v>0.67000000000000171</v>
      </c>
      <c r="H242" s="64">
        <f t="array" ref="H242">+SUM(IF(Tbills!$A:$A='Bill subs'!A242,IF(Tbills!$C:$C=91,Tbills!$M:$M,""),""))</f>
        <v>2.379999999999999</v>
      </c>
    </row>
    <row r="243" spans="1:8" x14ac:dyDescent="0.2">
      <c r="A243" s="52">
        <v>44811</v>
      </c>
      <c r="B243" s="64">
        <f>+SUMIF(Table13[Date_d],'Bill subs'!$A243,Table13[Amount Offered])</f>
        <v>75000</v>
      </c>
      <c r="C243" s="64">
        <f>+SUMIF(Table13[Date_d],'Bill subs'!$A243,Table13[Bid Received])</f>
        <v>106432</v>
      </c>
      <c r="D243" s="64">
        <f>+SUMIF(Table13[Date_d],'Bill subs'!$A243,Table13[Bid Accepted])</f>
        <v>10270</v>
      </c>
      <c r="E243" s="7">
        <f t="shared" si="6"/>
        <v>-64730</v>
      </c>
      <c r="F243" s="77">
        <f t="shared" si="7"/>
        <v>0.13693333333333332</v>
      </c>
      <c r="G243" s="64">
        <f t="array" ref="G243">+SUM(IF(Tbills!$A:$A='Bill subs'!A243,IF(Tbills!$C:$C=364,Tbills!$M:$M,""),""))</f>
        <v>0</v>
      </c>
      <c r="H243" s="64">
        <f t="array" ref="H243">+SUM(IF(Tbills!$A:$A='Bill subs'!A243,IF(Tbills!$C:$C=91,Tbills!$M:$M,""),""))</f>
        <v>0</v>
      </c>
    </row>
    <row r="244" spans="1:8" x14ac:dyDescent="0.2">
      <c r="A244" s="70">
        <v>44818</v>
      </c>
      <c r="B244" s="64">
        <f>+SUMIF(Table13[Date_d],'Bill subs'!$A244,Table13[Amount Offered])</f>
        <v>80000</v>
      </c>
      <c r="C244" s="64">
        <f>+SUMIF(Table13[Date_d],'Bill subs'!$A244,Table13[Bid Received])</f>
        <v>182723</v>
      </c>
      <c r="D244" s="64">
        <f>+SUMIF(Table13[Date_d],'Bill subs'!$A244,Table13[Bid Accepted])</f>
        <v>80000</v>
      </c>
      <c r="E244" s="7">
        <f t="shared" si="6"/>
        <v>0</v>
      </c>
      <c r="F244" s="77">
        <f t="shared" si="7"/>
        <v>1</v>
      </c>
      <c r="G244" s="64">
        <f t="array" ref="G244">+SUM(IF(Tbills!$A:$A='Bill subs'!A244,IF(Tbills!$C:$C=364,Tbills!$M:$M,""),""))</f>
        <v>-0.23999999999999844</v>
      </c>
      <c r="H244" s="64">
        <f t="array" ref="H244">+SUM(IF(Tbills!$A:$A='Bill subs'!A244,IF(Tbills!$C:$C=91,Tbills!$M:$M,""),""))</f>
        <v>-0.17999999999999972</v>
      </c>
    </row>
    <row r="245" spans="1:8" x14ac:dyDescent="0.2">
      <c r="A245" s="52">
        <v>44825</v>
      </c>
      <c r="B245" s="64">
        <f>+SUMIF(Table13[Date_d],'Bill subs'!$A245,Table13[Amount Offered])</f>
        <v>65000</v>
      </c>
      <c r="C245" s="64">
        <f>+SUMIF(Table13[Date_d],'Bill subs'!$A245,Table13[Bid Received])</f>
        <v>142646</v>
      </c>
      <c r="D245" s="64">
        <f>+SUMIF(Table13[Date_d],'Bill subs'!$A245,Table13[Bid Accepted])</f>
        <v>65000</v>
      </c>
      <c r="E245" s="7">
        <f t="shared" si="6"/>
        <v>0</v>
      </c>
      <c r="F245" s="77">
        <f t="shared" si="7"/>
        <v>1</v>
      </c>
      <c r="G245" s="64">
        <f t="array" ref="G245">+SUM(IF(Tbills!$A:$A='Bill subs'!A245,IF(Tbills!$C:$C=364,Tbills!$M:$M,""),""))</f>
        <v>-0.39000000000000057</v>
      </c>
      <c r="H245" s="64">
        <f t="array" ref="H245">+SUM(IF(Tbills!$A:$A='Bill subs'!A245,IF(Tbills!$C:$C=91,Tbills!$M:$M,""),""))</f>
        <v>-0.76000000000000156</v>
      </c>
    </row>
    <row r="246" spans="1:8" x14ac:dyDescent="0.2">
      <c r="A246" s="70">
        <v>44832</v>
      </c>
      <c r="B246" s="64">
        <f>+SUMIF(Table13[Date_d],'Bill subs'!$A246,Table13[Amount Offered])</f>
        <v>85000</v>
      </c>
      <c r="C246" s="64">
        <f>+SUMIF(Table13[Date_d],'Bill subs'!$A246,Table13[Bid Received])</f>
        <v>151766</v>
      </c>
      <c r="D246" s="64">
        <f>+SUMIF(Table13[Date_d],'Bill subs'!$A246,Table13[Bid Accepted])</f>
        <v>81680</v>
      </c>
      <c r="E246" s="7">
        <f t="shared" si="6"/>
        <v>-3320</v>
      </c>
      <c r="F246" s="77">
        <f t="shared" si="7"/>
        <v>0.96094117647058819</v>
      </c>
      <c r="G246" s="64">
        <f t="array" ref="G246">+SUM(IF(Tbills!$A:$A='Bill subs'!A246,IF(Tbills!$C:$C=364,Tbills!$M:$M,""),""))</f>
        <v>-1.9999999999999574E-2</v>
      </c>
      <c r="H246" s="64">
        <f t="array" ref="H246">+SUM(IF(Tbills!$A:$A='Bill subs'!A246,IF(Tbills!$C:$C=91,Tbills!$M:$M,""),""))</f>
        <v>-9.9999999999980105E-3</v>
      </c>
    </row>
    <row r="247" spans="1:8" x14ac:dyDescent="0.2">
      <c r="A247" s="52">
        <v>44839</v>
      </c>
      <c r="B247" s="64">
        <f>+SUMIF(Table13[Date_d],'Bill subs'!$A247,Table13[Amount Offered])</f>
        <v>85000</v>
      </c>
      <c r="C247" s="64">
        <f>+SUMIF(Table13[Date_d],'Bill subs'!$A247,Table13[Bid Received])</f>
        <v>145431</v>
      </c>
      <c r="D247" s="64">
        <f>+SUMIF(Table13[Date_d],'Bill subs'!$A247,Table13[Bid Accepted])</f>
        <v>85000</v>
      </c>
      <c r="E247" s="7">
        <f t="shared" si="6"/>
        <v>0</v>
      </c>
      <c r="F247" s="77">
        <f t="shared" si="7"/>
        <v>1</v>
      </c>
      <c r="G247" s="64">
        <f t="array" ref="G247">+SUM(IF(Tbills!$A:$A='Bill subs'!A247,IF(Tbills!$C:$C=364,Tbills!$M:$M,""),""))</f>
        <v>-0.10000000000000142</v>
      </c>
      <c r="H247" s="64">
        <f t="array" ref="H247">+SUM(IF(Tbills!$A:$A='Bill subs'!A247,IF(Tbills!$C:$C=91,Tbills!$M:$M,""),""))</f>
        <v>0.40000000000000213</v>
      </c>
    </row>
    <row r="248" spans="1:8" x14ac:dyDescent="0.2">
      <c r="A248" s="70">
        <v>44846</v>
      </c>
      <c r="B248" s="64">
        <f>+SUMIF(Table13[Date_d],'Bill subs'!$A248,Table13[Amount Offered])</f>
        <v>90000</v>
      </c>
      <c r="C248" s="64">
        <f>+SUMIF(Table13[Date_d],'Bill subs'!$A248,Table13[Bid Received])</f>
        <v>130930</v>
      </c>
      <c r="D248" s="64">
        <f>+SUMIF(Table13[Date_d],'Bill subs'!$A248,Table13[Bid Accepted])</f>
        <v>60307</v>
      </c>
      <c r="E248" s="7">
        <f t="shared" si="6"/>
        <v>-29693</v>
      </c>
      <c r="F248" s="77">
        <f t="shared" si="7"/>
        <v>0.67007777777777777</v>
      </c>
      <c r="G248" s="64">
        <f t="array" ref="G248">+SUM(IF(Tbills!$A:$A='Bill subs'!A248,IF(Tbills!$C:$C=364,Tbills!$M:$M,""),""))</f>
        <v>-0.14999999999999858</v>
      </c>
      <c r="H248" s="64">
        <f t="array" ref="H248">+SUM(IF(Tbills!$A:$A='Bill subs'!A248,IF(Tbills!$C:$C=91,Tbills!$M:$M,""),""))</f>
        <v>0.70999999999999375</v>
      </c>
    </row>
    <row r="249" spans="1:8" x14ac:dyDescent="0.2">
      <c r="A249" s="52">
        <v>44853</v>
      </c>
      <c r="B249" s="64">
        <f>+SUMIF(Table13[Date_d],'Bill subs'!$A249,Table13[Amount Offered])</f>
        <v>75000</v>
      </c>
      <c r="C249" s="64">
        <f>+SUMIF(Table13[Date_d],'Bill subs'!$A249,Table13[Bid Received])</f>
        <v>108780</v>
      </c>
      <c r="D249" s="64">
        <f>+SUMIF(Table13[Date_d],'Bill subs'!$A249,Table13[Bid Accepted])</f>
        <v>16123</v>
      </c>
      <c r="E249" s="7">
        <f t="shared" si="6"/>
        <v>-58877</v>
      </c>
      <c r="F249" s="77">
        <f t="shared" si="7"/>
        <v>0.21497333333333332</v>
      </c>
      <c r="G249" s="64">
        <f t="array" ref="G249">+SUM(IF(Tbills!$A:$A='Bill subs'!A249,IF(Tbills!$C:$C=364,Tbills!$M:$M,""),""))</f>
        <v>0</v>
      </c>
      <c r="H249" s="64">
        <f t="array" ref="H249">+SUM(IF(Tbills!$A:$A='Bill subs'!A249,IF(Tbills!$C:$C=91,Tbills!$M:$M,""),""))</f>
        <v>0</v>
      </c>
    </row>
    <row r="250" spans="1:8" x14ac:dyDescent="0.2">
      <c r="A250" s="70">
        <v>44921</v>
      </c>
      <c r="B250" s="64">
        <f>+SUMIF(Table13[Date_d],'Bill subs'!$A250,Table13[Amount Offered])</f>
        <v>80000</v>
      </c>
      <c r="C250" s="64">
        <f>+SUMIF(Table13[Date_d],'Bill subs'!$A250,Table13[Bid Received])</f>
        <v>140629</v>
      </c>
      <c r="D250" s="64">
        <f>+SUMIF(Table13[Date_d],'Bill subs'!$A250,Table13[Bid Accepted])</f>
        <v>69644</v>
      </c>
      <c r="E250" s="7">
        <f t="shared" si="6"/>
        <v>-10356</v>
      </c>
      <c r="F250" s="77">
        <f t="shared" si="7"/>
        <v>0.87055000000000005</v>
      </c>
      <c r="G250" s="64">
        <f t="array" ref="G250">+SUM(IF(Tbills!$A:$A='Bill subs'!A250,IF(Tbills!$C:$C=364,Tbills!$M:$M,""),""))</f>
        <v>0</v>
      </c>
      <c r="H250" s="64">
        <f t="array" ref="H250">+SUM(IF(Tbills!$A:$A='Bill subs'!A250,IF(Tbills!$C:$C=91,Tbills!$M:$M,""),""))</f>
        <v>0</v>
      </c>
    </row>
    <row r="251" spans="1:8" x14ac:dyDescent="0.2">
      <c r="A251" s="52">
        <v>44867</v>
      </c>
      <c r="B251" s="64">
        <f>+SUMIF(Table13[Date_d],'Bill subs'!$A251,Table13[Amount Offered])</f>
        <v>90000</v>
      </c>
      <c r="C251" s="64">
        <f>+SUMIF(Table13[Date_d],'Bill subs'!$A251,Table13[Bid Received])</f>
        <v>178835</v>
      </c>
      <c r="D251" s="64">
        <f>+SUMIF(Table13[Date_d],'Bill subs'!$A251,Table13[Bid Accepted])</f>
        <v>88648</v>
      </c>
      <c r="E251" s="7">
        <f t="shared" si="6"/>
        <v>-1352</v>
      </c>
      <c r="F251" s="77">
        <f t="shared" si="7"/>
        <v>0.98497777777777773</v>
      </c>
      <c r="G251" s="64">
        <f t="array" ref="G251">+SUM(IF(Tbills!$A:$A='Bill subs'!A251,IF(Tbills!$C:$C=364,Tbills!$M:$M,""),""))</f>
        <v>-3.0000000000001137E-2</v>
      </c>
      <c r="H251" s="64">
        <f t="array" ref="H251">+SUM(IF(Tbills!$A:$A='Bill subs'!A251,IF(Tbills!$C:$C=91,Tbills!$M:$M,""),""))</f>
        <v>5.0000000000004263E-2</v>
      </c>
    </row>
    <row r="277" spans="1:1" x14ac:dyDescent="0.2">
      <c r="A277" s="47"/>
    </row>
    <row r="278" spans="1:1" x14ac:dyDescent="0.2">
      <c r="A278" s="47"/>
    </row>
    <row r="279" spans="1:1" x14ac:dyDescent="0.2">
      <c r="A279" s="47"/>
    </row>
    <row r="280" spans="1:1" x14ac:dyDescent="0.2">
      <c r="A280" s="47"/>
    </row>
    <row r="281" spans="1:1" x14ac:dyDescent="0.2">
      <c r="A281" s="47"/>
    </row>
    <row r="282" spans="1:1" x14ac:dyDescent="0.2">
      <c r="A282" s="47"/>
    </row>
    <row r="283" spans="1:1" x14ac:dyDescent="0.2">
      <c r="A283" s="47"/>
    </row>
    <row r="284" spans="1:1" x14ac:dyDescent="0.2">
      <c r="A284" s="47"/>
    </row>
    <row r="285" spans="1:1" x14ac:dyDescent="0.2">
      <c r="A285" s="47"/>
    </row>
    <row r="286" spans="1:1" x14ac:dyDescent="0.2">
      <c r="A286" s="47"/>
    </row>
    <row r="287" spans="1:1" x14ac:dyDescent="0.2">
      <c r="A287" s="47"/>
    </row>
    <row r="288" spans="1:1" x14ac:dyDescent="0.2">
      <c r="A288" s="47"/>
    </row>
    <row r="289" spans="1:1" x14ac:dyDescent="0.2">
      <c r="A289" s="47"/>
    </row>
    <row r="290" spans="1:1" x14ac:dyDescent="0.2">
      <c r="A290" s="47"/>
    </row>
    <row r="291" spans="1:1" x14ac:dyDescent="0.2">
      <c r="A291" s="47"/>
    </row>
    <row r="292" spans="1:1" x14ac:dyDescent="0.2">
      <c r="A292" s="47"/>
    </row>
    <row r="293" spans="1:1" x14ac:dyDescent="0.2">
      <c r="A293" s="47"/>
    </row>
    <row r="294" spans="1:1" x14ac:dyDescent="0.2">
      <c r="A294" s="47"/>
    </row>
    <row r="295" spans="1:1" x14ac:dyDescent="0.2">
      <c r="A295" s="47"/>
    </row>
    <row r="296" spans="1:1" x14ac:dyDescent="0.2">
      <c r="A296" s="47"/>
    </row>
    <row r="297" spans="1:1" x14ac:dyDescent="0.2">
      <c r="A297" s="47"/>
    </row>
    <row r="298" spans="1:1" x14ac:dyDescent="0.2">
      <c r="A298" s="47"/>
    </row>
    <row r="299" spans="1:1" x14ac:dyDescent="0.2">
      <c r="A299" s="47"/>
    </row>
    <row r="300" spans="1:1" x14ac:dyDescent="0.2">
      <c r="A300" s="47"/>
    </row>
    <row r="301" spans="1:1" x14ac:dyDescent="0.2">
      <c r="A301" s="47"/>
    </row>
    <row r="302" spans="1:1" x14ac:dyDescent="0.2">
      <c r="A302" s="47"/>
    </row>
    <row r="303" spans="1:1" x14ac:dyDescent="0.2">
      <c r="A303" s="47"/>
    </row>
    <row r="304" spans="1:1" x14ac:dyDescent="0.2">
      <c r="A304" s="47"/>
    </row>
    <row r="305" spans="1:1" x14ac:dyDescent="0.2">
      <c r="A305" s="47"/>
    </row>
    <row r="306" spans="1:1" x14ac:dyDescent="0.2">
      <c r="A306" s="47"/>
    </row>
    <row r="307" spans="1:1" x14ac:dyDescent="0.2">
      <c r="A307" s="47"/>
    </row>
    <row r="308" spans="1:1" x14ac:dyDescent="0.2">
      <c r="A308" s="47"/>
    </row>
    <row r="309" spans="1:1" x14ac:dyDescent="0.2">
      <c r="A309" s="47"/>
    </row>
    <row r="310" spans="1:1" x14ac:dyDescent="0.2">
      <c r="A310" s="47"/>
    </row>
    <row r="311" spans="1:1" x14ac:dyDescent="0.2">
      <c r="A311" s="47"/>
    </row>
    <row r="312" spans="1:1" x14ac:dyDescent="0.2">
      <c r="A312" s="47"/>
    </row>
    <row r="313" spans="1:1" x14ac:dyDescent="0.2">
      <c r="A313" s="47"/>
    </row>
    <row r="314" spans="1:1" x14ac:dyDescent="0.2">
      <c r="A314" s="47"/>
    </row>
    <row r="315" spans="1:1" x14ac:dyDescent="0.2">
      <c r="A315" s="47"/>
    </row>
    <row r="316" spans="1:1" x14ac:dyDescent="0.2">
      <c r="A316" s="47"/>
    </row>
    <row r="317" spans="1:1" x14ac:dyDescent="0.2">
      <c r="A317" s="47"/>
    </row>
    <row r="318" spans="1:1" x14ac:dyDescent="0.2">
      <c r="A318" s="47"/>
    </row>
    <row r="319" spans="1:1" x14ac:dyDescent="0.2">
      <c r="A319" s="47"/>
    </row>
    <row r="320" spans="1:1" x14ac:dyDescent="0.2">
      <c r="A320" s="47"/>
    </row>
    <row r="321" spans="1:1" x14ac:dyDescent="0.2">
      <c r="A321" s="47"/>
    </row>
    <row r="322" spans="1:1" x14ac:dyDescent="0.2">
      <c r="A322" s="47"/>
    </row>
    <row r="323" spans="1:1" x14ac:dyDescent="0.2">
      <c r="A323" s="47"/>
    </row>
    <row r="324" spans="1:1" x14ac:dyDescent="0.2">
      <c r="A324" s="47"/>
    </row>
    <row r="325" spans="1:1" x14ac:dyDescent="0.2">
      <c r="A325" s="47"/>
    </row>
    <row r="326" spans="1:1" x14ac:dyDescent="0.2">
      <c r="A326" s="47"/>
    </row>
    <row r="327" spans="1:1" x14ac:dyDescent="0.2">
      <c r="A327" s="47"/>
    </row>
    <row r="328" spans="1:1" x14ac:dyDescent="0.2">
      <c r="A328" s="47"/>
    </row>
    <row r="329" spans="1:1" x14ac:dyDescent="0.2">
      <c r="A329" s="47"/>
    </row>
    <row r="330" spans="1:1" x14ac:dyDescent="0.2">
      <c r="A330" s="47"/>
    </row>
    <row r="331" spans="1:1" x14ac:dyDescent="0.2">
      <c r="A331" s="47"/>
    </row>
    <row r="332" spans="1:1" x14ac:dyDescent="0.2">
      <c r="A332" s="47"/>
    </row>
    <row r="333" spans="1:1" x14ac:dyDescent="0.2">
      <c r="A333" s="47"/>
    </row>
    <row r="334" spans="1:1" x14ac:dyDescent="0.2">
      <c r="A334" s="47"/>
    </row>
    <row r="335" spans="1:1" x14ac:dyDescent="0.2">
      <c r="A335" s="47"/>
    </row>
    <row r="336" spans="1:1" x14ac:dyDescent="0.2">
      <c r="A336" s="47"/>
    </row>
    <row r="337" spans="1:1" x14ac:dyDescent="0.2">
      <c r="A337" s="47"/>
    </row>
    <row r="338" spans="1:1" x14ac:dyDescent="0.2">
      <c r="A338" s="47"/>
    </row>
    <row r="339" spans="1:1" x14ac:dyDescent="0.2">
      <c r="A339" s="47"/>
    </row>
    <row r="340" spans="1:1" x14ac:dyDescent="0.2">
      <c r="A340" s="47"/>
    </row>
    <row r="341" spans="1:1" x14ac:dyDescent="0.2">
      <c r="A341" s="47"/>
    </row>
    <row r="342" spans="1:1" x14ac:dyDescent="0.2">
      <c r="A342" s="47"/>
    </row>
    <row r="343" spans="1:1" x14ac:dyDescent="0.2">
      <c r="A343" s="47"/>
    </row>
    <row r="344" spans="1:1" x14ac:dyDescent="0.2">
      <c r="A344" s="47"/>
    </row>
    <row r="345" spans="1:1" x14ac:dyDescent="0.2">
      <c r="A345" s="47"/>
    </row>
    <row r="346" spans="1:1" x14ac:dyDescent="0.2">
      <c r="A346" s="47"/>
    </row>
    <row r="347" spans="1:1" x14ac:dyDescent="0.2">
      <c r="A347" s="47"/>
    </row>
    <row r="348" spans="1:1" x14ac:dyDescent="0.2">
      <c r="A348" s="47"/>
    </row>
    <row r="349" spans="1:1" x14ac:dyDescent="0.2">
      <c r="A349" s="47"/>
    </row>
    <row r="350" spans="1:1" x14ac:dyDescent="0.2">
      <c r="A350" s="47"/>
    </row>
    <row r="351" spans="1:1" x14ac:dyDescent="0.2">
      <c r="A351" s="47"/>
    </row>
    <row r="352" spans="1:1" x14ac:dyDescent="0.2">
      <c r="A352" s="47"/>
    </row>
    <row r="353" spans="1:1" x14ac:dyDescent="0.2">
      <c r="A353" s="47"/>
    </row>
    <row r="354" spans="1:1" x14ac:dyDescent="0.2">
      <c r="A354" s="47"/>
    </row>
    <row r="355" spans="1:1" x14ac:dyDescent="0.2">
      <c r="A355" s="47"/>
    </row>
    <row r="356" spans="1:1" x14ac:dyDescent="0.2">
      <c r="A356" s="47"/>
    </row>
    <row r="357" spans="1:1" x14ac:dyDescent="0.2">
      <c r="A357" s="47"/>
    </row>
    <row r="358" spans="1:1" x14ac:dyDescent="0.2">
      <c r="A358" s="47"/>
    </row>
    <row r="359" spans="1:1" x14ac:dyDescent="0.2">
      <c r="A359" s="47"/>
    </row>
    <row r="360" spans="1:1" x14ac:dyDescent="0.2">
      <c r="A360" s="47"/>
    </row>
    <row r="361" spans="1:1" x14ac:dyDescent="0.2">
      <c r="A361" s="47"/>
    </row>
    <row r="362" spans="1:1" x14ac:dyDescent="0.2">
      <c r="A362" s="47"/>
    </row>
    <row r="363" spans="1:1" x14ac:dyDescent="0.2">
      <c r="A363" s="47"/>
    </row>
    <row r="364" spans="1:1" x14ac:dyDescent="0.2">
      <c r="A364" s="47"/>
    </row>
    <row r="365" spans="1:1" x14ac:dyDescent="0.2">
      <c r="A365" s="47"/>
    </row>
    <row r="366" spans="1:1" x14ac:dyDescent="0.2">
      <c r="A366" s="47"/>
    </row>
    <row r="367" spans="1:1" x14ac:dyDescent="0.2">
      <c r="A367" s="47"/>
    </row>
    <row r="368" spans="1:1" x14ac:dyDescent="0.2">
      <c r="A368" s="47"/>
    </row>
    <row r="369" spans="1:1" x14ac:dyDescent="0.2">
      <c r="A369" s="47"/>
    </row>
    <row r="370" spans="1:1" x14ac:dyDescent="0.2">
      <c r="A370" s="47"/>
    </row>
    <row r="371" spans="1:1" x14ac:dyDescent="0.2">
      <c r="A371" s="47"/>
    </row>
    <row r="372" spans="1:1" x14ac:dyDescent="0.2">
      <c r="A372" s="47"/>
    </row>
    <row r="373" spans="1:1" x14ac:dyDescent="0.2">
      <c r="A373" s="47"/>
    </row>
    <row r="374" spans="1:1" x14ac:dyDescent="0.2">
      <c r="A374" s="47"/>
    </row>
    <row r="375" spans="1:1" x14ac:dyDescent="0.2">
      <c r="A375" s="47"/>
    </row>
    <row r="376" spans="1:1" x14ac:dyDescent="0.2">
      <c r="A376" s="47"/>
    </row>
    <row r="377" spans="1:1" x14ac:dyDescent="0.2">
      <c r="A377" s="47"/>
    </row>
    <row r="378" spans="1:1" x14ac:dyDescent="0.2">
      <c r="A378" s="47"/>
    </row>
    <row r="379" spans="1:1" x14ac:dyDescent="0.2">
      <c r="A379" s="47"/>
    </row>
    <row r="380" spans="1:1" x14ac:dyDescent="0.2">
      <c r="A380" s="47"/>
    </row>
    <row r="381" spans="1:1" x14ac:dyDescent="0.2">
      <c r="A381" s="47"/>
    </row>
    <row r="382" spans="1:1" x14ac:dyDescent="0.2">
      <c r="A382" s="47"/>
    </row>
    <row r="383" spans="1:1" x14ac:dyDescent="0.2">
      <c r="A383" s="47"/>
    </row>
    <row r="384" spans="1:1" x14ac:dyDescent="0.2">
      <c r="A384" s="47"/>
    </row>
    <row r="385" spans="1:1" x14ac:dyDescent="0.2">
      <c r="A385" s="47"/>
    </row>
    <row r="386" spans="1:1" x14ac:dyDescent="0.2">
      <c r="A386" s="47"/>
    </row>
    <row r="387" spans="1:1" x14ac:dyDescent="0.2">
      <c r="A387" s="47"/>
    </row>
    <row r="388" spans="1:1" x14ac:dyDescent="0.2">
      <c r="A388" s="47"/>
    </row>
    <row r="389" spans="1:1" x14ac:dyDescent="0.2">
      <c r="A389" s="47"/>
    </row>
    <row r="390" spans="1:1" x14ac:dyDescent="0.2">
      <c r="A390" s="47"/>
    </row>
    <row r="391" spans="1:1" x14ac:dyDescent="0.2">
      <c r="A391" s="47"/>
    </row>
    <row r="392" spans="1:1" x14ac:dyDescent="0.2">
      <c r="A392" s="47"/>
    </row>
    <row r="393" spans="1:1" x14ac:dyDescent="0.2">
      <c r="A393" s="47"/>
    </row>
    <row r="394" spans="1:1" x14ac:dyDescent="0.2">
      <c r="A394" s="47"/>
    </row>
    <row r="395" spans="1:1" x14ac:dyDescent="0.2">
      <c r="A395" s="47"/>
    </row>
    <row r="396" spans="1:1" x14ac:dyDescent="0.2">
      <c r="A396" s="47"/>
    </row>
    <row r="397" spans="1:1" x14ac:dyDescent="0.2">
      <c r="A397" s="47"/>
    </row>
    <row r="398" spans="1:1" x14ac:dyDescent="0.2">
      <c r="A398" s="47"/>
    </row>
    <row r="399" spans="1:1" x14ac:dyDescent="0.2">
      <c r="A399" s="47"/>
    </row>
    <row r="400" spans="1:1" x14ac:dyDescent="0.2">
      <c r="A400" s="47"/>
    </row>
    <row r="401" spans="1:1" x14ac:dyDescent="0.2">
      <c r="A401" s="47"/>
    </row>
    <row r="402" spans="1:1" x14ac:dyDescent="0.2">
      <c r="A402" s="47"/>
    </row>
    <row r="403" spans="1:1" x14ac:dyDescent="0.2">
      <c r="A403" s="47"/>
    </row>
    <row r="404" spans="1:1" x14ac:dyDescent="0.2">
      <c r="A404" s="47"/>
    </row>
    <row r="405" spans="1:1" x14ac:dyDescent="0.2">
      <c r="A405" s="47"/>
    </row>
    <row r="406" spans="1:1" x14ac:dyDescent="0.2">
      <c r="A406" s="47"/>
    </row>
    <row r="407" spans="1:1" x14ac:dyDescent="0.2">
      <c r="A407" s="47"/>
    </row>
    <row r="408" spans="1:1" x14ac:dyDescent="0.2">
      <c r="A408" s="47"/>
    </row>
    <row r="409" spans="1:1" x14ac:dyDescent="0.2">
      <c r="A409" s="47"/>
    </row>
    <row r="410" spans="1:1" x14ac:dyDescent="0.2">
      <c r="A410" s="47"/>
    </row>
    <row r="411" spans="1:1" x14ac:dyDescent="0.2">
      <c r="A411" s="47"/>
    </row>
    <row r="412" spans="1:1" x14ac:dyDescent="0.2">
      <c r="A412" s="47"/>
    </row>
    <row r="413" spans="1:1" x14ac:dyDescent="0.2">
      <c r="A413" s="47"/>
    </row>
    <row r="414" spans="1:1" x14ac:dyDescent="0.2">
      <c r="A414" s="47"/>
    </row>
    <row r="415" spans="1:1" x14ac:dyDescent="0.2">
      <c r="A415" s="47"/>
    </row>
    <row r="416" spans="1:1" x14ac:dyDescent="0.2">
      <c r="A416" s="47"/>
    </row>
    <row r="417" spans="1:1" x14ac:dyDescent="0.2">
      <c r="A417" s="47"/>
    </row>
    <row r="418" spans="1:1" x14ac:dyDescent="0.2">
      <c r="A418" s="47"/>
    </row>
    <row r="419" spans="1:1" x14ac:dyDescent="0.2">
      <c r="A419" s="47"/>
    </row>
    <row r="420" spans="1:1" x14ac:dyDescent="0.2">
      <c r="A420" s="47"/>
    </row>
    <row r="421" spans="1:1" x14ac:dyDescent="0.2">
      <c r="A421" s="47"/>
    </row>
    <row r="422" spans="1:1" x14ac:dyDescent="0.2">
      <c r="A422" s="47"/>
    </row>
    <row r="423" spans="1:1" x14ac:dyDescent="0.2">
      <c r="A423" s="47"/>
    </row>
    <row r="424" spans="1:1" x14ac:dyDescent="0.2">
      <c r="A424" s="47"/>
    </row>
    <row r="425" spans="1:1" x14ac:dyDescent="0.2">
      <c r="A425" s="47"/>
    </row>
    <row r="426" spans="1:1" x14ac:dyDescent="0.2">
      <c r="A426" s="47"/>
    </row>
    <row r="427" spans="1:1" x14ac:dyDescent="0.2">
      <c r="A427" s="47"/>
    </row>
    <row r="428" spans="1:1" x14ac:dyDescent="0.2">
      <c r="A428" s="47"/>
    </row>
    <row r="429" spans="1:1" x14ac:dyDescent="0.2">
      <c r="A429" s="47"/>
    </row>
    <row r="430" spans="1:1" x14ac:dyDescent="0.2">
      <c r="A430" s="47"/>
    </row>
    <row r="431" spans="1:1" x14ac:dyDescent="0.2">
      <c r="A431" s="47"/>
    </row>
    <row r="432" spans="1:1" x14ac:dyDescent="0.2">
      <c r="A432" s="47"/>
    </row>
    <row r="433" spans="1:1" x14ac:dyDescent="0.2">
      <c r="A433" s="47"/>
    </row>
    <row r="434" spans="1:1" x14ac:dyDescent="0.2">
      <c r="A434" s="47"/>
    </row>
    <row r="435" spans="1:1" x14ac:dyDescent="0.2">
      <c r="A435" s="47"/>
    </row>
    <row r="436" spans="1:1" x14ac:dyDescent="0.2">
      <c r="A436" s="47"/>
    </row>
    <row r="437" spans="1:1" x14ac:dyDescent="0.2">
      <c r="A437" s="47"/>
    </row>
    <row r="438" spans="1:1" x14ac:dyDescent="0.2">
      <c r="A438" s="47"/>
    </row>
    <row r="439" spans="1:1" x14ac:dyDescent="0.2">
      <c r="A439" s="47"/>
    </row>
    <row r="440" spans="1:1" x14ac:dyDescent="0.2">
      <c r="A440" s="47"/>
    </row>
    <row r="441" spans="1:1" x14ac:dyDescent="0.2">
      <c r="A441" s="47"/>
    </row>
    <row r="442" spans="1:1" x14ac:dyDescent="0.2">
      <c r="A442" s="47"/>
    </row>
    <row r="443" spans="1:1" x14ac:dyDescent="0.2">
      <c r="A443" s="47"/>
    </row>
    <row r="444" spans="1:1" x14ac:dyDescent="0.2">
      <c r="A444" s="47"/>
    </row>
    <row r="445" spans="1:1" x14ac:dyDescent="0.2">
      <c r="A445" s="47"/>
    </row>
    <row r="446" spans="1:1" x14ac:dyDescent="0.2">
      <c r="A446" s="47"/>
    </row>
    <row r="447" spans="1:1" x14ac:dyDescent="0.2">
      <c r="A447" s="47"/>
    </row>
    <row r="448" spans="1:1" x14ac:dyDescent="0.2">
      <c r="A448" s="47"/>
    </row>
    <row r="449" spans="1:1" x14ac:dyDescent="0.2">
      <c r="A449" s="47"/>
    </row>
    <row r="450" spans="1:1" x14ac:dyDescent="0.2">
      <c r="A450" s="47"/>
    </row>
    <row r="451" spans="1:1" x14ac:dyDescent="0.2">
      <c r="A451" s="47"/>
    </row>
    <row r="452" spans="1:1" x14ac:dyDescent="0.2">
      <c r="A452" s="47"/>
    </row>
    <row r="453" spans="1:1" x14ac:dyDescent="0.2">
      <c r="A453" s="47"/>
    </row>
    <row r="454" spans="1:1" x14ac:dyDescent="0.2">
      <c r="A454" s="47"/>
    </row>
    <row r="455" spans="1:1" x14ac:dyDescent="0.2">
      <c r="A455" s="47"/>
    </row>
    <row r="456" spans="1:1" x14ac:dyDescent="0.2">
      <c r="A456" s="47"/>
    </row>
    <row r="457" spans="1:1" x14ac:dyDescent="0.2">
      <c r="A457" s="47"/>
    </row>
    <row r="458" spans="1:1" x14ac:dyDescent="0.2">
      <c r="A458" s="47"/>
    </row>
    <row r="459" spans="1:1" x14ac:dyDescent="0.2">
      <c r="A459" s="47"/>
    </row>
    <row r="460" spans="1:1" x14ac:dyDescent="0.2">
      <c r="A460" s="47"/>
    </row>
    <row r="461" spans="1:1" x14ac:dyDescent="0.2">
      <c r="A461" s="47"/>
    </row>
    <row r="462" spans="1:1" x14ac:dyDescent="0.2">
      <c r="A462" s="47"/>
    </row>
    <row r="463" spans="1:1" x14ac:dyDescent="0.2">
      <c r="A463" s="47"/>
    </row>
    <row r="464" spans="1:1" x14ac:dyDescent="0.2">
      <c r="A464" s="47"/>
    </row>
    <row r="465" spans="1:1" x14ac:dyDescent="0.2">
      <c r="A465" s="47"/>
    </row>
    <row r="466" spans="1:1" x14ac:dyDescent="0.2">
      <c r="A466" s="47"/>
    </row>
    <row r="467" spans="1:1" x14ac:dyDescent="0.2">
      <c r="A467" s="47"/>
    </row>
    <row r="468" spans="1:1" x14ac:dyDescent="0.2">
      <c r="A468" s="47"/>
    </row>
    <row r="469" spans="1:1" x14ac:dyDescent="0.2">
      <c r="A469" s="47"/>
    </row>
    <row r="470" spans="1:1" x14ac:dyDescent="0.2">
      <c r="A470" s="47"/>
    </row>
    <row r="471" spans="1:1" x14ac:dyDescent="0.2">
      <c r="A471" s="47"/>
    </row>
    <row r="472" spans="1:1" x14ac:dyDescent="0.2">
      <c r="A472" s="47"/>
    </row>
    <row r="473" spans="1:1" x14ac:dyDescent="0.2">
      <c r="A473" s="47"/>
    </row>
    <row r="474" spans="1:1" x14ac:dyDescent="0.2">
      <c r="A474" s="47"/>
    </row>
    <row r="475" spans="1:1" x14ac:dyDescent="0.2">
      <c r="A475" s="47"/>
    </row>
    <row r="476" spans="1:1" x14ac:dyDescent="0.2">
      <c r="A476" s="47"/>
    </row>
    <row r="477" spans="1:1" x14ac:dyDescent="0.2">
      <c r="A477" s="47"/>
    </row>
    <row r="478" spans="1:1" x14ac:dyDescent="0.2">
      <c r="A478" s="47"/>
    </row>
    <row r="479" spans="1:1" x14ac:dyDescent="0.2">
      <c r="A479" s="47"/>
    </row>
    <row r="480" spans="1:1" x14ac:dyDescent="0.2">
      <c r="A480" s="47"/>
    </row>
    <row r="481" spans="1:1" x14ac:dyDescent="0.2">
      <c r="A481" s="47"/>
    </row>
    <row r="482" spans="1:1" x14ac:dyDescent="0.2">
      <c r="A482" s="47"/>
    </row>
    <row r="483" spans="1:1" x14ac:dyDescent="0.2">
      <c r="A483" s="47"/>
    </row>
    <row r="484" spans="1:1" x14ac:dyDescent="0.2">
      <c r="A484" s="47"/>
    </row>
    <row r="485" spans="1:1" x14ac:dyDescent="0.2">
      <c r="A485" s="47"/>
    </row>
    <row r="486" spans="1:1" x14ac:dyDescent="0.2">
      <c r="A486" s="47"/>
    </row>
    <row r="487" spans="1:1" x14ac:dyDescent="0.2">
      <c r="A487" s="47"/>
    </row>
    <row r="488" spans="1:1" x14ac:dyDescent="0.2">
      <c r="A488" s="47"/>
    </row>
    <row r="489" spans="1:1" x14ac:dyDescent="0.2">
      <c r="A489" s="47"/>
    </row>
    <row r="490" spans="1:1" x14ac:dyDescent="0.2">
      <c r="A490" s="47"/>
    </row>
    <row r="491" spans="1:1" x14ac:dyDescent="0.2">
      <c r="A491" s="47"/>
    </row>
    <row r="492" spans="1:1" x14ac:dyDescent="0.2">
      <c r="A492" s="47"/>
    </row>
    <row r="493" spans="1:1" x14ac:dyDescent="0.2">
      <c r="A493" s="47"/>
    </row>
    <row r="494" spans="1:1" x14ac:dyDescent="0.2">
      <c r="A494" s="47"/>
    </row>
    <row r="495" spans="1:1" x14ac:dyDescent="0.2">
      <c r="A495" s="47"/>
    </row>
    <row r="496" spans="1:1" x14ac:dyDescent="0.2">
      <c r="A496" s="47"/>
    </row>
    <row r="497" spans="1:1" x14ac:dyDescent="0.2">
      <c r="A497" s="47"/>
    </row>
    <row r="498" spans="1:1" x14ac:dyDescent="0.2">
      <c r="A498" s="47"/>
    </row>
    <row r="499" spans="1:1" x14ac:dyDescent="0.2">
      <c r="A499" s="47"/>
    </row>
    <row r="500" spans="1:1" x14ac:dyDescent="0.2">
      <c r="A500" s="47"/>
    </row>
    <row r="501" spans="1:1" x14ac:dyDescent="0.2">
      <c r="A501" s="47"/>
    </row>
    <row r="502" spans="1:1" x14ac:dyDescent="0.2">
      <c r="A502" s="47"/>
    </row>
    <row r="503" spans="1:1" x14ac:dyDescent="0.2">
      <c r="A503" s="47"/>
    </row>
    <row r="504" spans="1:1" x14ac:dyDescent="0.2">
      <c r="A504" s="47"/>
    </row>
    <row r="505" spans="1:1" x14ac:dyDescent="0.2">
      <c r="A505" s="47"/>
    </row>
    <row r="506" spans="1:1" x14ac:dyDescent="0.2">
      <c r="A506" s="47"/>
    </row>
    <row r="507" spans="1:1" x14ac:dyDescent="0.2">
      <c r="A507" s="47"/>
    </row>
    <row r="508" spans="1:1" x14ac:dyDescent="0.2">
      <c r="A508" s="47"/>
    </row>
    <row r="509" spans="1:1" x14ac:dyDescent="0.2">
      <c r="A509" s="47"/>
    </row>
    <row r="510" spans="1:1" x14ac:dyDescent="0.2">
      <c r="A510" s="47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Tbills</vt:lpstr>
      <vt:lpstr>Bill subs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Nirukthi Kariyawasam</dc:creator>
  <cp:lastModifiedBy>Muditha Rajapaksha</cp:lastModifiedBy>
  <dcterms:created xsi:type="dcterms:W3CDTF">2021-03-31T03:24:25Z</dcterms:created>
  <dcterms:modified xsi:type="dcterms:W3CDTF">2022-12-01T03:52:42Z</dcterms:modified>
</cp:coreProperties>
</file>