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815" tabRatio="779" activeTab="1"/>
  </bookViews>
  <sheets>
    <sheet name="INTRODUCTION" sheetId="11" r:id="rId1"/>
    <sheet name="P&amp;L STATEMENT " sheetId="1" r:id="rId2"/>
    <sheet name="Balance Sheet" sheetId="3" r:id="rId3"/>
    <sheet name="Financial Liabilities" sheetId="2" r:id="rId4"/>
    <sheet name="FIxed Asset Roll Forward" sheetId="5" r:id="rId5"/>
    <sheet name="Equity Schedule" sheetId="4" r:id="rId6"/>
    <sheet name="Cash Flow " sheetId="6" r:id="rId7"/>
    <sheet name="Returns" sheetId="8" r:id="rId8"/>
    <sheet name="Wacc" sheetId="7" r:id="rId9"/>
    <sheet name="Firm Value" sheetId="9" r:id="rId10"/>
    <sheet name="New Investment" sheetId="10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<sst xmlns="http://schemas.openxmlformats.org/spreadsheetml/2006/main" count="157" uniqueCount="131">
  <si>
    <t>PROJECT</t>
  </si>
  <si>
    <t>GOVERNMENT COLLEGE UNIVERSITY , LAHORE</t>
  </si>
  <si>
    <t xml:space="preserve">DEPARTMENT OF COMMERECE &amp; FINANACE </t>
  </si>
  <si>
    <t>SUBJECT:</t>
  </si>
  <si>
    <t>INTERNATIONAL FINANCIAL MANAGEMENT</t>
  </si>
  <si>
    <t>PREPARED BY:</t>
  </si>
  <si>
    <t>MUHAMMAD FURQAN</t>
  </si>
  <si>
    <t>ROLL NO: 1859-BS-BAF-21</t>
  </si>
  <si>
    <t>SUBMITTED TO:</t>
  </si>
  <si>
    <t>DR. NAVEED UL HASSAN</t>
  </si>
  <si>
    <t xml:space="preserve">SIEMENS PAKISTAN ENGINEERING CO.LTD  </t>
  </si>
  <si>
    <t>FORECAST</t>
  </si>
  <si>
    <t>(Rupees in thousand )</t>
  </si>
  <si>
    <t>Revenue</t>
  </si>
  <si>
    <t>Cost of sale</t>
  </si>
  <si>
    <t>Gross profit</t>
  </si>
  <si>
    <t>operating expense</t>
  </si>
  <si>
    <t>Other Income</t>
  </si>
  <si>
    <t>EBIT</t>
  </si>
  <si>
    <t>Interest</t>
  </si>
  <si>
    <t>EBT</t>
  </si>
  <si>
    <t>Taxation</t>
  </si>
  <si>
    <t>Net income</t>
  </si>
  <si>
    <t>Revenue Growth %</t>
  </si>
  <si>
    <t xml:space="preserve">Average Revenue growth </t>
  </si>
  <si>
    <t>CGS as % of Revenue</t>
  </si>
  <si>
    <t>average CGS %</t>
  </si>
  <si>
    <t>operating Exp as % of revenue</t>
  </si>
  <si>
    <t>average Operating Exp %</t>
  </si>
  <si>
    <t xml:space="preserve">Tax rate </t>
  </si>
  <si>
    <t>Other Income as % of revenue</t>
  </si>
  <si>
    <t>average other income %</t>
  </si>
  <si>
    <t>EBITDA</t>
  </si>
  <si>
    <t>BALANCE SHEET</t>
  </si>
  <si>
    <t>(Rupees in thousand)</t>
  </si>
  <si>
    <t>Trade receivable</t>
  </si>
  <si>
    <t>Inventory</t>
  </si>
  <si>
    <t>PP&amp;E</t>
  </si>
  <si>
    <t>Cash</t>
  </si>
  <si>
    <t>Other Assets</t>
  </si>
  <si>
    <t>Total Assets</t>
  </si>
  <si>
    <t>Trade payables</t>
  </si>
  <si>
    <t>Provision</t>
  </si>
  <si>
    <t>Financial Liabilities</t>
  </si>
  <si>
    <t>Other Liabilities</t>
  </si>
  <si>
    <t>Equity</t>
  </si>
  <si>
    <t>Total Liabilities &amp; Equity</t>
  </si>
  <si>
    <t>DSO</t>
  </si>
  <si>
    <t>DIO</t>
  </si>
  <si>
    <t>Other Assets % of sales</t>
  </si>
  <si>
    <t>DPO</t>
  </si>
  <si>
    <t xml:space="preserve">Other liabilities % of CGS </t>
  </si>
  <si>
    <t>check</t>
  </si>
  <si>
    <t>(Rupees in thousands)</t>
  </si>
  <si>
    <t>Beginning Debt</t>
  </si>
  <si>
    <t>new debt</t>
  </si>
  <si>
    <t>principal repayment</t>
  </si>
  <si>
    <t>Ending Debt</t>
  </si>
  <si>
    <t>Interest rate after 2024</t>
  </si>
  <si>
    <t>repay debt in 10 years</t>
  </si>
  <si>
    <t>Annual payment</t>
  </si>
  <si>
    <t>Period</t>
  </si>
  <si>
    <t>Payment</t>
  </si>
  <si>
    <t xml:space="preserve">Interest </t>
  </si>
  <si>
    <t>Residual debt</t>
  </si>
  <si>
    <r>
      <rPr>
        <b/>
        <sz val="12"/>
        <color rgb="FFFFFFFF"/>
        <rFont val="Arial"/>
        <charset val="134"/>
      </rPr>
      <t>Fixed Asset Roll Forward</t>
    </r>
    <r>
      <rPr>
        <b/>
        <sz val="12"/>
        <color rgb="FF000000"/>
        <rFont val="Arial"/>
        <charset val="134"/>
      </rPr>
      <t xml:space="preserve"> </t>
    </r>
  </si>
  <si>
    <t xml:space="preserve">FORECAST </t>
  </si>
  <si>
    <t>Beginning PP&amp;E</t>
  </si>
  <si>
    <t xml:space="preserve">Depreciation </t>
  </si>
  <si>
    <t>Capex</t>
  </si>
  <si>
    <t>Ending PP&amp;E</t>
  </si>
  <si>
    <t>Depreciation as a % of PP&amp;E</t>
  </si>
  <si>
    <t>EQUITY SCHEDULE</t>
  </si>
  <si>
    <t>Beginning Equity</t>
  </si>
  <si>
    <t>Net Income/(Loss)</t>
  </si>
  <si>
    <t xml:space="preserve">Dividend's </t>
  </si>
  <si>
    <t>Ending Equity</t>
  </si>
  <si>
    <t>Interest Exp.</t>
  </si>
  <si>
    <t>Taxes</t>
  </si>
  <si>
    <t>Change in Trade Receivables</t>
  </si>
  <si>
    <t>Change in Inventory</t>
  </si>
  <si>
    <t xml:space="preserve">Change in Other Asset </t>
  </si>
  <si>
    <t xml:space="preserve">Change in Trade Payable </t>
  </si>
  <si>
    <t xml:space="preserve">Change in Other Liabilities </t>
  </si>
  <si>
    <t>Capital Exp.</t>
  </si>
  <si>
    <t>Operating Cash Flow</t>
  </si>
  <si>
    <t>Dividends</t>
  </si>
  <si>
    <t>Change in Financial Liabilities</t>
  </si>
  <si>
    <t xml:space="preserve">Change in Provision </t>
  </si>
  <si>
    <t>Change in Equity</t>
  </si>
  <si>
    <t>Net Cash Flow</t>
  </si>
  <si>
    <t xml:space="preserve">RETURN's of Company &amp; Market </t>
  </si>
  <si>
    <t>COMPANY RETURN</t>
  </si>
  <si>
    <t>KSE 100</t>
  </si>
  <si>
    <t>DATE</t>
  </si>
  <si>
    <t>PRICE</t>
  </si>
  <si>
    <t>Column1</t>
  </si>
  <si>
    <t xml:space="preserve">             -  </t>
  </si>
  <si>
    <t>Average:</t>
  </si>
  <si>
    <t>Rm:</t>
  </si>
  <si>
    <t xml:space="preserve">Treasury Bill Rate </t>
  </si>
  <si>
    <t>Weighted Average Cost of Capital</t>
  </si>
  <si>
    <t>Debt</t>
  </si>
  <si>
    <t>Total Debt &amp; Equity</t>
  </si>
  <si>
    <t>Weight of Debt</t>
  </si>
  <si>
    <t>Weight of Equity</t>
  </si>
  <si>
    <t>WACC</t>
  </si>
  <si>
    <t>Cost of Debt</t>
  </si>
  <si>
    <t>Cost of Equity</t>
  </si>
  <si>
    <t>Risk free Rate</t>
  </si>
  <si>
    <t>Market Return</t>
  </si>
  <si>
    <t>Beta</t>
  </si>
  <si>
    <t>CAPM</t>
  </si>
  <si>
    <t>FIRM VALUE</t>
  </si>
  <si>
    <t>12/31/2030   5%g</t>
  </si>
  <si>
    <t>Cash Flows</t>
  </si>
  <si>
    <t>Terminal Value</t>
  </si>
  <si>
    <t>PV</t>
  </si>
  <si>
    <t>PV of Terminal value</t>
  </si>
  <si>
    <t>Firm Value</t>
  </si>
  <si>
    <t>No. of shares</t>
  </si>
  <si>
    <t xml:space="preserve">Share Price </t>
  </si>
  <si>
    <t>New Investment</t>
  </si>
  <si>
    <t>Share Price</t>
  </si>
  <si>
    <t>Cash Flow</t>
  </si>
  <si>
    <t>Year</t>
  </si>
  <si>
    <t>Initial Cash outflow</t>
  </si>
  <si>
    <t>Cash inflow</t>
  </si>
  <si>
    <t>NPV</t>
  </si>
  <si>
    <t>New Firm Value</t>
  </si>
  <si>
    <t>New Share Price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</si>
</sst>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_(* #,##0_);_(* \(#,##0\);_(* &quot;-&quot;??_);_(@_)"/>
    <numFmt numFmtId="180" formatCode="0.0%"/>
    <numFmt numFmtId="181" formatCode="0.00_);\(0.00\)"/>
    <numFmt numFmtId="182" formatCode="0.00000_);\(0.00000\)"/>
  </numFmts>
  <fonts count="55">
    <font>
      <sz val="11"/>
      <color theme="1"/>
      <name val="Aptos Narrow"/>
      <charset val="134"/>
      <scheme val="minor"/>
    </font>
    <font>
      <sz val="12"/>
      <color theme="0"/>
      <name val="Arial"/>
      <charset val="134"/>
    </font>
    <font>
      <sz val="9"/>
      <color theme="0"/>
      <name val="Arial"/>
      <charset val="134"/>
    </font>
    <font>
      <sz val="9"/>
      <color theme="1"/>
      <name val="Arial"/>
      <charset val="134"/>
    </font>
    <font>
      <b/>
      <sz val="9"/>
      <color theme="1"/>
      <name val="Arial"/>
      <charset val="134"/>
    </font>
    <font>
      <b/>
      <sz val="9"/>
      <color theme="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2"/>
      <color theme="0"/>
      <name val="Arial"/>
      <charset val="134"/>
    </font>
    <font>
      <b/>
      <sz val="10"/>
      <color theme="0"/>
      <name val="Arial"/>
      <charset val="134"/>
    </font>
    <font>
      <sz val="9"/>
      <color rgb="FFFFFFFF"/>
      <name val="Arial"/>
      <charset val="134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9"/>
      <color rgb="FF000000"/>
      <name val="Arial"/>
      <charset val="134"/>
    </font>
    <font>
      <sz val="10"/>
      <color theme="0"/>
      <name val="Arial Black"/>
      <charset val="134"/>
    </font>
    <font>
      <sz val="11"/>
      <color theme="0"/>
      <name val="Arial"/>
      <charset val="134"/>
    </font>
    <font>
      <sz val="9"/>
      <color rgb="FF232526"/>
      <name val="Arial"/>
      <charset val="134"/>
    </font>
    <font>
      <sz val="9"/>
      <color rgb="FF333333"/>
      <name val="Arial"/>
      <charset val="134"/>
    </font>
    <font>
      <sz val="9"/>
      <color rgb="FF000000"/>
      <name val="Arial"/>
      <charset val="134"/>
    </font>
    <font>
      <b/>
      <sz val="11"/>
      <color rgb="FF000000"/>
      <name val="Arial"/>
      <charset val="134"/>
    </font>
    <font>
      <b/>
      <sz val="10"/>
      <color rgb="FF000000"/>
      <name val="Arial"/>
      <charset val="134"/>
    </font>
    <font>
      <sz val="10"/>
      <color theme="0"/>
      <name val="Arial"/>
      <charset val="134"/>
    </font>
    <font>
      <b/>
      <sz val="9"/>
      <color rgb="FF002060"/>
      <name val="Arial"/>
      <charset val="134"/>
    </font>
    <font>
      <b/>
      <sz val="11"/>
      <color rgb="FFFFFFFF"/>
      <name val="Arial"/>
      <charset val="134"/>
    </font>
    <font>
      <b/>
      <sz val="10"/>
      <color rgb="FFFFFFFF"/>
      <name val="Arial"/>
      <charset val="134"/>
    </font>
    <font>
      <sz val="10"/>
      <color theme="1"/>
      <name val="Aptos Narrow"/>
      <charset val="134"/>
      <scheme val="minor"/>
    </font>
    <font>
      <b/>
      <sz val="12"/>
      <color rgb="FF000000"/>
      <name val="Arial"/>
      <charset val="134"/>
    </font>
    <font>
      <sz val="9"/>
      <color theme="3" tint="0.499984740745262"/>
      <name val="Arial"/>
      <charset val="134"/>
    </font>
    <font>
      <b/>
      <sz val="9"/>
      <color theme="3" tint="0.499984740745262"/>
      <name val="Arial"/>
      <charset val="134"/>
    </font>
    <font>
      <sz val="9"/>
      <color theme="1" tint="0.0499893185216834"/>
      <name val="Arial"/>
      <charset val="134"/>
    </font>
    <font>
      <sz val="11"/>
      <color theme="3" tint="0.0999786370433668"/>
      <name val="Aptos Narrow"/>
      <charset val="134"/>
      <scheme val="minor"/>
    </font>
    <font>
      <sz val="9"/>
      <color theme="3" tint="0.0999786370433668"/>
      <name val="Arial"/>
      <charset val="134"/>
    </font>
    <font>
      <b/>
      <sz val="10"/>
      <color theme="0"/>
      <name val="Times New Roman"/>
      <charset val="134"/>
    </font>
    <font>
      <sz val="10"/>
      <color theme="0"/>
      <name val="Times New Roman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2"/>
      <color rgb="FFFFFFFF"/>
      <name val="Arial"/>
      <charset val="134"/>
    </font>
  </fonts>
  <fills count="4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3" tint="0.899990844447157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206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/>
      <bottom/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2060"/>
      </left>
      <right/>
      <top/>
      <bottom/>
      <diagonal/>
    </border>
    <border>
      <left/>
      <right style="medium">
        <color rgb="FF002060"/>
      </right>
      <top/>
      <bottom/>
      <diagonal/>
    </border>
    <border>
      <left style="medium">
        <color rgb="FF002060"/>
      </left>
      <right/>
      <top/>
      <bottom style="medium">
        <color rgb="FF002060"/>
      </bottom>
      <diagonal/>
    </border>
    <border>
      <left/>
      <right style="medium">
        <color rgb="FF002060"/>
      </right>
      <top/>
      <bottom style="medium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2060"/>
      </top>
      <bottom style="medium">
        <color rgb="FF00206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rgb="FF000000"/>
      </top>
      <bottom style="medium">
        <color rgb="FF002060"/>
      </bottom>
      <diagonal/>
    </border>
    <border>
      <left/>
      <right/>
      <top style="dashed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4" fillId="0" borderId="0" applyFont="0" applyFill="0" applyBorder="0" applyAlignment="0" applyProtection="0">
      <alignment vertical="center"/>
    </xf>
    <xf numFmtId="44" fontId="34" fillId="0" borderId="0" applyFont="0" applyFill="0" applyBorder="0" applyAlignment="0" applyProtection="0">
      <alignment vertical="center"/>
    </xf>
    <xf numFmtId="9" fontId="34" fillId="0" borderId="0" applyFont="0" applyFill="0" applyBorder="0" applyAlignment="0" applyProtection="0">
      <alignment vertical="center"/>
    </xf>
    <xf numFmtId="177" fontId="34" fillId="0" borderId="0" applyFont="0" applyFill="0" applyBorder="0" applyAlignment="0" applyProtection="0">
      <alignment vertical="center"/>
    </xf>
    <xf numFmtId="42" fontId="34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4" fillId="9" borderId="35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36" applyNumberFormat="0" applyFill="0" applyAlignment="0" applyProtection="0">
      <alignment vertical="center"/>
    </xf>
    <xf numFmtId="0" fontId="41" fillId="0" borderId="36" applyNumberFormat="0" applyFill="0" applyAlignment="0" applyProtection="0">
      <alignment vertical="center"/>
    </xf>
    <xf numFmtId="0" fontId="42" fillId="0" borderId="37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10" borderId="38" applyNumberFormat="0" applyAlignment="0" applyProtection="0">
      <alignment vertical="center"/>
    </xf>
    <xf numFmtId="0" fontId="44" fillId="11" borderId="39" applyNumberFormat="0" applyAlignment="0" applyProtection="0">
      <alignment vertical="center"/>
    </xf>
    <xf numFmtId="0" fontId="45" fillId="11" borderId="38" applyNumberFormat="0" applyAlignment="0" applyProtection="0">
      <alignment vertical="center"/>
    </xf>
    <xf numFmtId="0" fontId="46" fillId="12" borderId="40" applyNumberFormat="0" applyAlignment="0" applyProtection="0">
      <alignment vertical="center"/>
    </xf>
    <xf numFmtId="0" fontId="47" fillId="0" borderId="41" applyNumberFormat="0" applyFill="0" applyAlignment="0" applyProtection="0">
      <alignment vertical="center"/>
    </xf>
    <xf numFmtId="0" fontId="48" fillId="0" borderId="42" applyNumberFormat="0" applyFill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2" fillId="27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3" fillId="29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2" fillId="31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3" fillId="33" borderId="0" applyNumberFormat="0" applyBorder="0" applyAlignment="0" applyProtection="0">
      <alignment vertical="center"/>
    </xf>
    <xf numFmtId="0" fontId="53" fillId="34" borderId="0" applyNumberFormat="0" applyBorder="0" applyAlignment="0" applyProtection="0">
      <alignment vertical="center"/>
    </xf>
    <xf numFmtId="0" fontId="52" fillId="35" borderId="0" applyNumberFormat="0" applyBorder="0" applyAlignment="0" applyProtection="0">
      <alignment vertical="center"/>
    </xf>
    <xf numFmtId="0" fontId="52" fillId="36" borderId="0" applyNumberFormat="0" applyBorder="0" applyAlignment="0" applyProtection="0">
      <alignment vertical="center"/>
    </xf>
    <xf numFmtId="0" fontId="53" fillId="37" borderId="0" applyNumberFormat="0" applyBorder="0" applyAlignment="0" applyProtection="0">
      <alignment vertical="center"/>
    </xf>
    <xf numFmtId="0" fontId="53" fillId="38" borderId="0" applyNumberFormat="0" applyBorder="0" applyAlignment="0" applyProtection="0">
      <alignment vertical="center"/>
    </xf>
    <xf numFmtId="0" fontId="52" fillId="39" borderId="0" applyNumberFormat="0" applyBorder="0" applyAlignment="0" applyProtection="0">
      <alignment vertical="center"/>
    </xf>
  </cellStyleXfs>
  <cellXfs count="19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3" fillId="3" borderId="0" xfId="0" applyFont="1" applyFill="1"/>
    <xf numFmtId="3" fontId="3" fillId="3" borderId="0" xfId="0" applyNumberFormat="1" applyFont="1" applyFill="1"/>
    <xf numFmtId="1" fontId="3" fillId="3" borderId="0" xfId="0" applyNumberFormat="1" applyFont="1" applyFill="1"/>
    <xf numFmtId="1" fontId="3" fillId="0" borderId="0" xfId="0" applyNumberFormat="1" applyFont="1"/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1" xfId="0" applyFont="1" applyBorder="1"/>
    <xf numFmtId="37" fontId="3" fillId="0" borderId="1" xfId="0" applyNumberFormat="1" applyFont="1" applyBorder="1"/>
    <xf numFmtId="0" fontId="0" fillId="0" borderId="1" xfId="0" applyBorder="1"/>
    <xf numFmtId="3" fontId="3" fillId="0" borderId="1" xfId="0" applyNumberFormat="1" applyFont="1" applyBorder="1"/>
    <xf numFmtId="0" fontId="3" fillId="0" borderId="2" xfId="0" applyFont="1" applyBorder="1"/>
    <xf numFmtId="0" fontId="0" fillId="0" borderId="2" xfId="0" applyBorder="1"/>
    <xf numFmtId="10" fontId="3" fillId="0" borderId="2" xfId="0" applyNumberFormat="1" applyFont="1" applyBorder="1"/>
    <xf numFmtId="0" fontId="4" fillId="3" borderId="0" xfId="0" applyFont="1" applyFill="1"/>
    <xf numFmtId="3" fontId="3" fillId="3" borderId="0" xfId="0" applyNumberFormat="1" applyFont="1" applyFill="1" applyBorder="1"/>
    <xf numFmtId="3" fontId="5" fillId="4" borderId="0" xfId="0" applyNumberFormat="1" applyFont="1" applyFill="1"/>
    <xf numFmtId="3" fontId="4" fillId="3" borderId="0" xfId="0" applyNumberFormat="1" applyFont="1" applyFill="1"/>
    <xf numFmtId="0" fontId="6" fillId="3" borderId="0" xfId="0" applyFont="1" applyFill="1"/>
    <xf numFmtId="3" fontId="6" fillId="3" borderId="0" xfId="0" applyNumberFormat="1" applyFont="1" applyFill="1"/>
    <xf numFmtId="178" fontId="7" fillId="3" borderId="0" xfId="0" applyNumberFormat="1" applyFont="1" applyFill="1"/>
    <xf numFmtId="0" fontId="8" fillId="2" borderId="0" xfId="0" applyFont="1" applyFill="1" applyAlignment="1">
      <alignment horizontal="center" vertical="center"/>
    </xf>
    <xf numFmtId="15" fontId="2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7" fontId="3" fillId="0" borderId="0" xfId="0" applyNumberFormat="1" applyFont="1" applyAlignment="1"/>
    <xf numFmtId="0" fontId="3" fillId="0" borderId="3" xfId="0" applyFont="1" applyBorder="1"/>
    <xf numFmtId="10" fontId="3" fillId="0" borderId="3" xfId="0" applyNumberFormat="1" applyFont="1" applyBorder="1"/>
    <xf numFmtId="0" fontId="4" fillId="0" borderId="3" xfId="0" applyFont="1" applyBorder="1"/>
    <xf numFmtId="0" fontId="3" fillId="0" borderId="4" xfId="0" applyFont="1" applyBorder="1"/>
    <xf numFmtId="0" fontId="0" fillId="0" borderId="0" xfId="0" applyBorder="1"/>
    <xf numFmtId="0" fontId="9" fillId="4" borderId="5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4" fillId="0" borderId="0" xfId="0" applyFont="1" applyBorder="1"/>
    <xf numFmtId="179" fontId="6" fillId="3" borderId="9" xfId="0" applyNumberFormat="1" applyFont="1" applyFill="1" applyBorder="1"/>
    <xf numFmtId="179" fontId="3" fillId="3" borderId="3" xfId="0" applyNumberFormat="1" applyFont="1" applyFill="1" applyBorder="1"/>
    <xf numFmtId="179" fontId="3" fillId="3" borderId="10" xfId="0" applyNumberFormat="1" applyFont="1" applyFill="1" applyBorder="1"/>
    <xf numFmtId="179" fontId="6" fillId="3" borderId="11" xfId="0" applyNumberFormat="1" applyFont="1" applyFill="1" applyBorder="1"/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11" fillId="3" borderId="14" xfId="0" applyFont="1" applyFill="1" applyBorder="1"/>
    <xf numFmtId="179" fontId="11" fillId="3" borderId="15" xfId="0" applyNumberFormat="1" applyFont="1" applyFill="1" applyBorder="1"/>
    <xf numFmtId="0" fontId="12" fillId="3" borderId="16" xfId="0" applyFont="1" applyFill="1" applyBorder="1"/>
    <xf numFmtId="178" fontId="12" fillId="3" borderId="17" xfId="0" applyNumberFormat="1" applyFont="1" applyFill="1" applyBorder="1"/>
    <xf numFmtId="15" fontId="2" fillId="2" borderId="18" xfId="0" applyNumberFormat="1" applyFont="1" applyFill="1" applyBorder="1" applyAlignment="1">
      <alignment horizontal="center" vertical="center"/>
    </xf>
    <xf numFmtId="179" fontId="3" fillId="0" borderId="9" xfId="0" applyNumberFormat="1" applyFont="1" applyBorder="1"/>
    <xf numFmtId="179" fontId="4" fillId="0" borderId="19" xfId="0" applyNumberFormat="1" applyFont="1" applyBorder="1"/>
    <xf numFmtId="0" fontId="8" fillId="2" borderId="0" xfId="0" applyFont="1" applyFill="1" applyAlignment="1">
      <alignment horizontal="center" vertical="center" wrapText="1"/>
    </xf>
    <xf numFmtId="15" fontId="5" fillId="2" borderId="0" xfId="0" applyNumberFormat="1" applyFont="1" applyFill="1" applyAlignment="1">
      <alignment horizontal="center" vertical="center"/>
    </xf>
    <xf numFmtId="3" fontId="3" fillId="0" borderId="0" xfId="0" applyNumberFormat="1" applyFont="1"/>
    <xf numFmtId="3" fontId="3" fillId="0" borderId="2" xfId="0" applyNumberFormat="1" applyFont="1" applyBorder="1"/>
    <xf numFmtId="0" fontId="3" fillId="5" borderId="0" xfId="0" applyFont="1" applyFill="1"/>
    <xf numFmtId="10" fontId="3" fillId="5" borderId="0" xfId="0" applyNumberFormat="1" applyFont="1" applyFill="1"/>
    <xf numFmtId="0" fontId="3" fillId="6" borderId="0" xfId="0" applyFont="1" applyFill="1"/>
    <xf numFmtId="10" fontId="3" fillId="6" borderId="0" xfId="0" applyNumberFormat="1" applyFont="1" applyFill="1"/>
    <xf numFmtId="0" fontId="5" fillId="4" borderId="20" xfId="0" applyFont="1" applyFill="1" applyBorder="1"/>
    <xf numFmtId="10" fontId="5" fillId="4" borderId="20" xfId="0" applyNumberFormat="1" applyFont="1" applyFill="1" applyBorder="1"/>
    <xf numFmtId="9" fontId="4" fillId="3" borderId="0" xfId="0" applyNumberFormat="1" applyFont="1" applyFill="1"/>
    <xf numFmtId="180" fontId="3" fillId="3" borderId="0" xfId="0" applyNumberFormat="1" applyFont="1" applyFill="1"/>
    <xf numFmtId="9" fontId="3" fillId="3" borderId="0" xfId="0" applyNumberFormat="1" applyFont="1" applyFill="1"/>
    <xf numFmtId="9" fontId="0" fillId="0" borderId="0" xfId="0" applyNumberFormat="1"/>
    <xf numFmtId="2" fontId="3" fillId="3" borderId="0" xfId="0" applyNumberFormat="1" applyFont="1" applyFill="1"/>
    <xf numFmtId="0" fontId="13" fillId="3" borderId="0" xfId="0" applyFont="1" applyFill="1"/>
    <xf numFmtId="181" fontId="3" fillId="0" borderId="0" xfId="0" applyNumberFormat="1" applyFont="1"/>
    <xf numFmtId="182" fontId="3" fillId="0" borderId="0" xfId="0" applyNumberFormat="1" applyFont="1"/>
    <xf numFmtId="0" fontId="14" fillId="0" borderId="0" xfId="0" applyFont="1" applyFill="1" applyBorder="1" applyAlignment="1">
      <alignment vertical="center"/>
    </xf>
    <xf numFmtId="0" fontId="15" fillId="2" borderId="21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15" fillId="2" borderId="22" xfId="0" applyFont="1" applyFill="1" applyBorder="1" applyAlignment="1">
      <alignment horizontal="center" vertical="center"/>
    </xf>
    <xf numFmtId="0" fontId="15" fillId="2" borderId="23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2" borderId="24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0" borderId="21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/>
    </xf>
    <xf numFmtId="15" fontId="3" fillId="0" borderId="25" xfId="0" applyNumberFormat="1" applyFont="1" applyBorder="1"/>
    <xf numFmtId="182" fontId="3" fillId="0" borderId="21" xfId="0" applyNumberFormat="1" applyFont="1" applyBorder="1"/>
    <xf numFmtId="15" fontId="16" fillId="0" borderId="25" xfId="0" applyNumberFormat="1" applyFont="1" applyFill="1" applyBorder="1" applyAlignment="1"/>
    <xf numFmtId="2" fontId="16" fillId="0" borderId="22" xfId="0" applyNumberFormat="1" applyFont="1" applyFill="1" applyBorder="1" applyAlignment="1">
      <alignment wrapText="1" readingOrder="1"/>
    </xf>
    <xf numFmtId="15" fontId="3" fillId="0" borderId="25" xfId="0" applyNumberFormat="1" applyFont="1" applyFill="1" applyBorder="1"/>
    <xf numFmtId="15" fontId="17" fillId="0" borderId="25" xfId="0" applyNumberFormat="1" applyFont="1" applyFill="1" applyBorder="1" applyAlignment="1">
      <alignment wrapText="1"/>
    </xf>
    <xf numFmtId="0" fontId="15" fillId="2" borderId="26" xfId="0" applyFont="1" applyFill="1" applyBorder="1" applyAlignment="1">
      <alignment horizontal="center" vertical="center"/>
    </xf>
    <xf numFmtId="0" fontId="15" fillId="2" borderId="27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22" xfId="0" applyFont="1" applyBorder="1"/>
    <xf numFmtId="182" fontId="18" fillId="0" borderId="22" xfId="0" applyNumberFormat="1" applyFont="1" applyFill="1" applyBorder="1" applyAlignment="1"/>
    <xf numFmtId="2" fontId="18" fillId="0" borderId="0" xfId="0" applyNumberFormat="1" applyFont="1" applyFill="1" applyBorder="1" applyAlignment="1"/>
    <xf numFmtId="2" fontId="16" fillId="0" borderId="22" xfId="0" applyNumberFormat="1" applyFont="1" applyFill="1" applyBorder="1" applyAlignment="1">
      <alignment readingOrder="1"/>
    </xf>
    <xf numFmtId="15" fontId="17" fillId="0" borderId="28" xfId="0" applyNumberFormat="1" applyFont="1" applyFill="1" applyBorder="1" applyAlignment="1">
      <alignment wrapText="1"/>
    </xf>
    <xf numFmtId="181" fontId="3" fillId="0" borderId="0" xfId="0" applyNumberFormat="1" applyFont="1" applyBorder="1"/>
    <xf numFmtId="15" fontId="16" fillId="0" borderId="28" xfId="0" applyNumberFormat="1" applyFont="1" applyFill="1" applyBorder="1" applyAlignment="1"/>
    <xf numFmtId="181" fontId="12" fillId="3" borderId="29" xfId="0" applyNumberFormat="1" applyFont="1" applyFill="1" applyBorder="1"/>
    <xf numFmtId="182" fontId="12" fillId="3" borderId="29" xfId="0" applyNumberFormat="1" applyFont="1" applyFill="1" applyBorder="1"/>
    <xf numFmtId="0" fontId="12" fillId="3" borderId="29" xfId="0" applyFont="1" applyFill="1" applyBorder="1"/>
    <xf numFmtId="181" fontId="19" fillId="0" borderId="0" xfId="0" applyNumberFormat="1" applyFont="1" applyFill="1" applyBorder="1"/>
    <xf numFmtId="9" fontId="12" fillId="0" borderId="0" xfId="0" applyNumberFormat="1" applyFont="1" applyFill="1" applyBorder="1"/>
    <xf numFmtId="0" fontId="20" fillId="3" borderId="29" xfId="0" applyFont="1" applyFill="1" applyBorder="1"/>
    <xf numFmtId="10" fontId="0" fillId="3" borderId="19" xfId="0" applyNumberFormat="1" applyFill="1" applyBorder="1"/>
    <xf numFmtId="182" fontId="12" fillId="3" borderId="30" xfId="0" applyNumberFormat="1" applyFont="1" applyFill="1" applyBorder="1"/>
    <xf numFmtId="9" fontId="12" fillId="3" borderId="19" xfId="0" applyNumberFormat="1" applyFont="1" applyFill="1" applyBorder="1"/>
    <xf numFmtId="0" fontId="9" fillId="2" borderId="0" xfId="0" applyFont="1" applyFill="1" applyAlignment="1">
      <alignment horizontal="center"/>
    </xf>
    <xf numFmtId="0" fontId="21" fillId="2" borderId="0" xfId="0" applyFont="1" applyFill="1" applyAlignment="1">
      <alignment horizontal="center"/>
    </xf>
    <xf numFmtId="0" fontId="2" fillId="4" borderId="20" xfId="0" applyFont="1" applyFill="1" applyBorder="1" applyAlignment="1">
      <alignment horizontal="center" vertical="center"/>
    </xf>
    <xf numFmtId="0" fontId="22" fillId="0" borderId="0" xfId="0" applyFont="1"/>
    <xf numFmtId="37" fontId="3" fillId="0" borderId="0" xfId="0" applyNumberFormat="1" applyFont="1"/>
    <xf numFmtId="0" fontId="3" fillId="0" borderId="31" xfId="0" applyFont="1" applyBorder="1"/>
    <xf numFmtId="37" fontId="3" fillId="0" borderId="31" xfId="0" applyNumberFormat="1" applyFont="1" applyBorder="1"/>
    <xf numFmtId="0" fontId="4" fillId="0" borderId="0" xfId="0" applyFont="1"/>
    <xf numFmtId="37" fontId="4" fillId="0" borderId="0" xfId="0" applyNumberFormat="1" applyFont="1"/>
    <xf numFmtId="0" fontId="4" fillId="7" borderId="20" xfId="0" applyFont="1" applyFill="1" applyBorder="1"/>
    <xf numFmtId="37" fontId="4" fillId="7" borderId="20" xfId="0" applyNumberFormat="1" applyFont="1" applyFill="1" applyBorder="1"/>
    <xf numFmtId="2" fontId="0" fillId="0" borderId="0" xfId="0" applyNumberFormat="1"/>
    <xf numFmtId="0" fontId="23" fillId="2" borderId="0" xfId="0" applyFont="1" applyFill="1" applyAlignment="1">
      <alignment horizontal="center" vertical="center"/>
    </xf>
    <xf numFmtId="0" fontId="24" fillId="2" borderId="0" xfId="0" applyFont="1" applyFill="1" applyAlignment="1">
      <alignment horizontal="center"/>
    </xf>
    <xf numFmtId="0" fontId="25" fillId="2" borderId="0" xfId="0" applyFont="1" applyFill="1" applyAlignment="1">
      <alignment horizontal="center"/>
    </xf>
    <xf numFmtId="0" fontId="2" fillId="4" borderId="31" xfId="0" applyFont="1" applyFill="1" applyBorder="1" applyAlignment="1">
      <alignment horizontal="center" vertical="center"/>
    </xf>
    <xf numFmtId="15" fontId="2" fillId="4" borderId="31" xfId="0" applyNumberFormat="1" applyFont="1" applyFill="1" applyBorder="1" applyAlignment="1">
      <alignment horizontal="center" vertical="center"/>
    </xf>
    <xf numFmtId="0" fontId="3" fillId="0" borderId="20" xfId="0" applyFont="1" applyBorder="1"/>
    <xf numFmtId="3" fontId="3" fillId="0" borderId="20" xfId="0" applyNumberFormat="1" applyFont="1" applyBorder="1"/>
    <xf numFmtId="0" fontId="26" fillId="2" borderId="0" xfId="0" applyFont="1" applyFill="1" applyAlignment="1">
      <alignment horizontal="center"/>
    </xf>
    <xf numFmtId="15" fontId="2" fillId="4" borderId="20" xfId="0" applyNumberFormat="1" applyFont="1" applyFill="1" applyBorder="1" applyAlignment="1">
      <alignment horizontal="center" vertical="center"/>
    </xf>
    <xf numFmtId="0" fontId="4" fillId="0" borderId="20" xfId="0" applyFont="1" applyBorder="1"/>
    <xf numFmtId="37" fontId="4" fillId="0" borderId="20" xfId="0" applyNumberFormat="1" applyFont="1" applyBorder="1"/>
    <xf numFmtId="0" fontId="3" fillId="3" borderId="0" xfId="0" applyFont="1" applyFill="1" applyBorder="1"/>
    <xf numFmtId="180" fontId="3" fillId="3" borderId="0" xfId="0" applyNumberFormat="1" applyFont="1" applyFill="1" applyBorder="1"/>
    <xf numFmtId="0" fontId="3" fillId="0" borderId="0" xfId="0" applyFont="1" applyFill="1" applyBorder="1"/>
    <xf numFmtId="180" fontId="3" fillId="0" borderId="0" xfId="0" applyNumberFormat="1" applyFont="1" applyFill="1" applyBorder="1"/>
    <xf numFmtId="180" fontId="0" fillId="0" borderId="0" xfId="0" applyNumberFormat="1"/>
    <xf numFmtId="0" fontId="9" fillId="2" borderId="2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15" fontId="2" fillId="4" borderId="32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37" fontId="3" fillId="0" borderId="0" xfId="0" applyNumberFormat="1" applyFont="1" applyBorder="1"/>
    <xf numFmtId="0" fontId="4" fillId="0" borderId="20" xfId="0" applyFont="1" applyBorder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9" fontId="27" fillId="5" borderId="0" xfId="0" applyNumberFormat="1" applyFont="1" applyFill="1"/>
    <xf numFmtId="0" fontId="27" fillId="5" borderId="0" xfId="0" applyFont="1" applyFill="1"/>
    <xf numFmtId="0" fontId="13" fillId="5" borderId="0" xfId="0" applyFont="1" applyFill="1" applyAlignment="1">
      <alignment horizontal="left" vertical="center"/>
    </xf>
    <xf numFmtId="3" fontId="28" fillId="5" borderId="0" xfId="0" applyNumberFormat="1" applyFont="1" applyFill="1"/>
    <xf numFmtId="0" fontId="3" fillId="0" borderId="0" xfId="0" applyFont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8" borderId="0" xfId="0" applyFont="1" applyFill="1"/>
    <xf numFmtId="0" fontId="3" fillId="3" borderId="33" xfId="0" applyFont="1" applyFill="1" applyBorder="1" applyAlignment="1">
      <alignment horizontal="left" vertical="center"/>
    </xf>
    <xf numFmtId="3" fontId="3" fillId="3" borderId="33" xfId="0" applyNumberFormat="1" applyFont="1" applyFill="1" applyBorder="1"/>
    <xf numFmtId="0" fontId="3" fillId="3" borderId="0" xfId="0" applyFont="1" applyFill="1" applyBorder="1" applyAlignment="1">
      <alignment horizontal="left" vertical="center"/>
    </xf>
    <xf numFmtId="37" fontId="0" fillId="0" borderId="0" xfId="0" applyNumberFormat="1"/>
    <xf numFmtId="58" fontId="2" fillId="4" borderId="20" xfId="0" applyNumberFormat="1" applyFont="1" applyFill="1" applyBorder="1" applyAlignment="1">
      <alignment horizontal="center" vertical="center"/>
    </xf>
    <xf numFmtId="3" fontId="4" fillId="0" borderId="20" xfId="0" applyNumberFormat="1" applyFont="1" applyBorder="1"/>
    <xf numFmtId="178" fontId="29" fillId="3" borderId="0" xfId="0" applyNumberFormat="1" applyFont="1" applyFill="1"/>
    <xf numFmtId="9" fontId="29" fillId="3" borderId="0" xfId="0" applyNumberFormat="1" applyFont="1" applyFill="1"/>
    <xf numFmtId="9" fontId="3" fillId="0" borderId="0" xfId="0" applyNumberFormat="1" applyFont="1"/>
    <xf numFmtId="0" fontId="13" fillId="7" borderId="0" xfId="0" applyFont="1" applyFill="1"/>
    <xf numFmtId="3" fontId="3" fillId="7" borderId="0" xfId="0" applyNumberFormat="1" applyFont="1" applyFill="1"/>
    <xf numFmtId="3" fontId="0" fillId="0" borderId="0" xfId="0" applyNumberFormat="1"/>
    <xf numFmtId="3" fontId="22" fillId="0" borderId="0" xfId="0" applyNumberFormat="1" applyFont="1"/>
    <xf numFmtId="0" fontId="3" fillId="0" borderId="0" xfId="0" applyFont="1" applyFill="1"/>
    <xf numFmtId="49" fontId="8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top"/>
    </xf>
    <xf numFmtId="0" fontId="2" fillId="4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37" fontId="4" fillId="0" borderId="1" xfId="0" applyNumberFormat="1" applyFont="1" applyBorder="1"/>
    <xf numFmtId="0" fontId="3" fillId="0" borderId="1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37" fontId="3" fillId="0" borderId="34" xfId="0" applyNumberFormat="1" applyFont="1" applyBorder="1"/>
    <xf numFmtId="0" fontId="13" fillId="7" borderId="34" xfId="0" applyFont="1" applyFill="1" applyBorder="1" applyAlignment="1">
      <alignment horizontal="left" vertical="center"/>
    </xf>
    <xf numFmtId="37" fontId="4" fillId="7" borderId="34" xfId="0" applyNumberFormat="1" applyFont="1" applyFill="1" applyBorder="1"/>
    <xf numFmtId="0" fontId="0" fillId="0" borderId="0" xfId="0" applyAlignment="1">
      <alignment horizontal="left" vertical="center"/>
    </xf>
    <xf numFmtId="0" fontId="30" fillId="3" borderId="0" xfId="0" applyFont="1" applyFill="1"/>
    <xf numFmtId="10" fontId="31" fillId="3" borderId="0" xfId="0" applyNumberFormat="1" applyFont="1" applyFill="1"/>
    <xf numFmtId="0" fontId="31" fillId="3" borderId="0" xfId="0" applyFont="1" applyFill="1"/>
    <xf numFmtId="9" fontId="31" fillId="3" borderId="0" xfId="0" applyNumberFormat="1" applyFont="1" applyFill="1"/>
    <xf numFmtId="0" fontId="0" fillId="3" borderId="0" xfId="0" applyFill="1"/>
    <xf numFmtId="10" fontId="30" fillId="3" borderId="0" xfId="0" applyNumberFormat="1" applyFont="1" applyFill="1"/>
    <xf numFmtId="9" fontId="30" fillId="3" borderId="0" xfId="0" applyNumberFormat="1" applyFont="1" applyFill="1"/>
    <xf numFmtId="10" fontId="0" fillId="0" borderId="0" xfId="0" applyNumberFormat="1"/>
    <xf numFmtId="0" fontId="20" fillId="7" borderId="0" xfId="0" applyFont="1" applyFill="1"/>
    <xf numFmtId="0" fontId="25" fillId="7" borderId="0" xfId="0" applyFont="1" applyFill="1"/>
    <xf numFmtId="37" fontId="7" fillId="7" borderId="0" xfId="0" applyNumberFormat="1" applyFont="1" applyFill="1"/>
    <xf numFmtId="0" fontId="0" fillId="2" borderId="0" xfId="0" applyFill="1"/>
    <xf numFmtId="0" fontId="0" fillId="4" borderId="0" xfId="0" applyFill="1"/>
    <xf numFmtId="0" fontId="32" fillId="4" borderId="0" xfId="0" applyFont="1" applyFill="1" applyAlignment="1">
      <alignment horizontal="center" vertical="center"/>
    </xf>
    <xf numFmtId="0" fontId="33" fillId="2" borderId="0" xfId="0" applyFont="1" applyFill="1" applyAlignment="1">
      <alignment horizontal="center" vertical="center"/>
    </xf>
    <xf numFmtId="0" fontId="33" fillId="2" borderId="0" xfId="0" applyFont="1" applyFill="1" applyAlignment="1">
      <alignment horizontal="left" vertical="center"/>
    </xf>
    <xf numFmtId="0" fontId="33" fillId="2" borderId="0" xfId="0" applyFont="1" applyFill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name val="Arial"/>
        <scheme val="none"/>
        <b val="0"/>
        <i val="0"/>
        <strike val="0"/>
        <u val="none"/>
        <sz val="9"/>
        <color rgb="FF232526"/>
      </font>
      <numFmt numFmtId="15" formatCode="d\-mmm\-yy"/>
      <fill>
        <patternFill patternType="solid">
          <fgColor rgb="FF000000"/>
          <bgColor rgb="FFFFFFFF"/>
        </patternFill>
      </fill>
      <border>
        <left style="thin">
          <color rgb="FF000000"/>
        </left>
        <right style="thin">
          <color rgb="FF000000"/>
        </right>
        <top/>
        <bottom/>
      </border>
    </dxf>
    <dxf>
      <font>
        <name val="Arial"/>
        <scheme val="none"/>
        <b val="0"/>
        <i val="0"/>
        <strike val="0"/>
        <u val="none"/>
        <sz val="9"/>
        <color rgb="FF232526"/>
      </font>
      <numFmt numFmtId="2" formatCode="0.00"/>
      <fill>
        <patternFill patternType="solid">
          <fgColor rgb="FF000000"/>
          <bgColor rgb="FFFFFFFF"/>
        </patternFill>
      </fill>
      <alignment wrapText="1" readingOrder="1"/>
      <border>
        <left/>
        <right style="thin">
          <color rgb="FF000000"/>
        </right>
        <top/>
        <bottom/>
      </border>
    </dxf>
    <dxf>
      <font>
        <name val="Arial"/>
        <scheme val="none"/>
        <b val="0"/>
        <i val="0"/>
        <strike val="0"/>
        <u val="none"/>
        <sz val="9"/>
        <color rgb="FF000000"/>
      </font>
      <numFmt numFmtId="182" formatCode="0.00000_);\(0.00000\)"/>
      <fill>
        <patternFill patternType="none"/>
      </fill>
      <border>
        <left/>
        <right style="thin">
          <color rgb="FF000000"/>
        </right>
        <top/>
        <bottom style="medium">
          <color rgb="FF000000"/>
        </bottom>
      </border>
    </dxf>
    <dxf>
      <font>
        <name val="Arial"/>
        <scheme val="none"/>
        <b val="0"/>
        <i val="0"/>
        <strike val="0"/>
        <u val="none"/>
        <sz val="9"/>
        <color rgb="FF333333"/>
      </font>
      <numFmt numFmtId="15" formatCode="d\-mmm\-yy"/>
      <fill>
        <patternFill patternType="solid">
          <fgColor rgb="FF000000"/>
          <bgColor rgb="FFFFFFFF"/>
        </patternFill>
      </fill>
      <alignment wrapText="1"/>
      <border>
        <left style="thin">
          <color rgb="FF000000"/>
        </left>
        <right style="thin">
          <color rgb="FF000000"/>
        </right>
        <top/>
        <bottom style="medium">
          <color rgb="FF000000"/>
        </bottom>
      </border>
    </dxf>
    <dxf>
      <font>
        <name val="Arial"/>
        <scheme val="none"/>
        <b val="0"/>
        <i val="0"/>
        <strike val="0"/>
        <u val="none"/>
        <sz val="9"/>
        <color theme="1"/>
      </font>
      <numFmt numFmtId="181" formatCode="0.00_);\(0.00\)"/>
    </dxf>
    <dxf>
      <font>
        <name val="Arial"/>
        <scheme val="none"/>
        <b val="0"/>
        <i val="0"/>
        <strike val="0"/>
        <u val="none"/>
        <sz val="9"/>
        <color theme="1"/>
      </font>
      <numFmt numFmtId="182" formatCode="0.00000_);\(0.00000\)"/>
      <border>
        <left style="thin">
          <color rgb="FF000000"/>
        </left>
        <right/>
        <top/>
        <bottom/>
      </border>
    </dxf>
  </dxfs>
  <tableStyles count="0" defaultTableStyle="TableStyleMedium2" defaultPivotStyle="PivotStyleMedium9"/>
  <colors>
    <mruColors>
      <color rgb="00FFFFFF"/>
      <color rgb="0008206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G5:I250" totalsRowShown="0">
  <autoFilter xmlns:etc="http://www.wps.cn/officeDocument/2017/etCustomData" ref="G5:I250" etc:filterBottomFollowUsedRange="0"/>
  <tableColumns count="3">
    <tableColumn id="1" name="DATE" dataDxfId="0"/>
    <tableColumn id="2" name="PRICE" dataDxfId="1"/>
    <tableColumn id="3" name="Column1" dataDxfId="2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id="10" name="Table10" displayName="Table10" ref="B5:D250" totalsRowShown="0">
  <autoFilter xmlns:etc="http://www.wps.cn/officeDocument/2017/etCustomData" ref="B5:D250" etc:filterBottomFollowUsedRange="0"/>
  <tableColumns count="3">
    <tableColumn id="1" name="DATE" dataDxfId="3"/>
    <tableColumn id="2" name="PRICE" dataDxfId="4"/>
    <tableColumn id="3" name="Column1" dataDxfId="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M14"/>
  <sheetViews>
    <sheetView topLeftCell="E1" workbookViewId="0">
      <selection activeCell="O14" sqref="O14"/>
    </sheetView>
  </sheetViews>
  <sheetFormatPr defaultColWidth="9" defaultRowHeight="13.5"/>
  <cols>
    <col min="13" max="13" width="9.25" customWidth="1"/>
  </cols>
  <sheetData>
    <row r="2" spans="3:13"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</row>
    <row r="3" spans="3:13">
      <c r="C3" s="185"/>
      <c r="D3" s="186" t="s">
        <v>0</v>
      </c>
      <c r="E3" s="186"/>
      <c r="F3" s="186"/>
      <c r="G3" s="186"/>
      <c r="H3" s="186"/>
      <c r="I3" s="186"/>
      <c r="J3" s="186"/>
      <c r="K3" s="186"/>
      <c r="L3" s="186"/>
      <c r="M3" s="185"/>
    </row>
    <row r="4" spans="3:13">
      <c r="C4" s="185"/>
      <c r="D4" s="184"/>
      <c r="E4" s="187" t="s">
        <v>1</v>
      </c>
      <c r="F4" s="187"/>
      <c r="G4" s="187"/>
      <c r="H4" s="187"/>
      <c r="I4" s="187"/>
      <c r="J4" s="187"/>
      <c r="K4" s="187"/>
      <c r="L4" s="184"/>
      <c r="M4" s="185"/>
    </row>
    <row r="5" spans="3:13">
      <c r="C5" s="185"/>
      <c r="D5" s="184"/>
      <c r="E5" s="187" t="s">
        <v>2</v>
      </c>
      <c r="F5" s="187"/>
      <c r="G5" s="187"/>
      <c r="H5" s="187"/>
      <c r="I5" s="187"/>
      <c r="J5" s="187"/>
      <c r="K5" s="187"/>
      <c r="L5" s="184"/>
      <c r="M5" s="185"/>
    </row>
    <row r="6" spans="3:13">
      <c r="C6" s="185"/>
      <c r="D6" s="184"/>
      <c r="E6" s="188" t="s">
        <v>3</v>
      </c>
      <c r="F6" s="188"/>
      <c r="G6" s="188"/>
      <c r="H6" s="188"/>
      <c r="I6" s="188"/>
      <c r="J6" s="188"/>
      <c r="K6" s="188"/>
      <c r="L6" s="184"/>
      <c r="M6" s="185"/>
    </row>
    <row r="7" spans="3:13">
      <c r="C7" s="185"/>
      <c r="D7" s="184"/>
      <c r="E7" s="189" t="s">
        <v>4</v>
      </c>
      <c r="F7" s="189"/>
      <c r="G7" s="189"/>
      <c r="H7" s="189"/>
      <c r="I7" s="189"/>
      <c r="J7" s="189"/>
      <c r="K7" s="189"/>
      <c r="L7" s="184"/>
      <c r="M7" s="185"/>
    </row>
    <row r="8" spans="3:13">
      <c r="C8" s="185"/>
      <c r="D8" s="184"/>
      <c r="E8" s="188" t="s">
        <v>5</v>
      </c>
      <c r="F8" s="188"/>
      <c r="G8" s="188"/>
      <c r="H8" s="188"/>
      <c r="I8" s="188"/>
      <c r="J8" s="188"/>
      <c r="K8" s="188"/>
      <c r="L8" s="184"/>
      <c r="M8" s="185"/>
    </row>
    <row r="9" spans="3:13">
      <c r="C9" s="185"/>
      <c r="D9" s="184"/>
      <c r="E9" s="189" t="s">
        <v>6</v>
      </c>
      <c r="F9" s="189"/>
      <c r="G9" s="189"/>
      <c r="H9" s="189"/>
      <c r="I9" s="189"/>
      <c r="J9" s="189"/>
      <c r="K9" s="189"/>
      <c r="L9" s="184"/>
      <c r="M9" s="185"/>
    </row>
    <row r="10" spans="3:13">
      <c r="C10" s="185"/>
      <c r="D10" s="184"/>
      <c r="E10" s="189" t="s">
        <v>7</v>
      </c>
      <c r="F10" s="189"/>
      <c r="G10" s="189"/>
      <c r="H10" s="189"/>
      <c r="I10" s="189"/>
      <c r="J10" s="189"/>
      <c r="K10" s="189"/>
      <c r="L10" s="184"/>
      <c r="M10" s="185"/>
    </row>
    <row r="11" spans="3:13">
      <c r="C11" s="185"/>
      <c r="D11" s="184"/>
      <c r="E11" s="188" t="s">
        <v>8</v>
      </c>
      <c r="F11" s="188"/>
      <c r="G11" s="188"/>
      <c r="H11" s="188"/>
      <c r="I11" s="188"/>
      <c r="J11" s="188"/>
      <c r="K11" s="188"/>
      <c r="L11" s="184"/>
      <c r="M11" s="185"/>
    </row>
    <row r="12" spans="3:13">
      <c r="C12" s="185"/>
      <c r="D12" s="184"/>
      <c r="E12" s="189" t="s">
        <v>9</v>
      </c>
      <c r="F12" s="189"/>
      <c r="G12" s="189"/>
      <c r="H12" s="189"/>
      <c r="I12" s="189"/>
      <c r="J12" s="189"/>
      <c r="K12" s="189"/>
      <c r="L12" s="184"/>
      <c r="M12" s="185"/>
    </row>
    <row r="13" spans="3:13">
      <c r="C13" s="185"/>
      <c r="D13" s="184"/>
      <c r="E13" s="184"/>
      <c r="F13" s="184"/>
      <c r="G13" s="184"/>
      <c r="H13" s="184"/>
      <c r="I13" s="184"/>
      <c r="J13" s="184"/>
      <c r="K13" s="184"/>
      <c r="L13" s="184"/>
      <c r="M13" s="185"/>
    </row>
    <row r="14" spans="3:13">
      <c r="C14" s="184"/>
      <c r="D14" s="184"/>
      <c r="E14" s="184"/>
      <c r="F14" s="184"/>
      <c r="G14" s="184"/>
      <c r="H14" s="184"/>
      <c r="I14" s="184"/>
      <c r="J14" s="184"/>
      <c r="K14" s="184"/>
      <c r="L14" s="184"/>
      <c r="M14" s="184"/>
    </row>
  </sheetData>
  <mergeCells count="10">
    <mergeCell ref="D3:L3"/>
    <mergeCell ref="E4:K4"/>
    <mergeCell ref="E5:K5"/>
    <mergeCell ref="E6:K6"/>
    <mergeCell ref="E7:K7"/>
    <mergeCell ref="E8:K8"/>
    <mergeCell ref="E9:K9"/>
    <mergeCell ref="E10:K10"/>
    <mergeCell ref="E11:K11"/>
    <mergeCell ref="E12:K1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29"/>
  <sheetViews>
    <sheetView tabSelected="1" workbookViewId="0">
      <selection activeCell="J4" sqref="J4"/>
    </sheetView>
  </sheetViews>
  <sheetFormatPr defaultColWidth="9.125" defaultRowHeight="13.5"/>
  <cols>
    <col min="2" max="2" width="30.375" customWidth="1"/>
    <col min="3" max="3" width="12.125" customWidth="1"/>
    <col min="4" max="5" width="12.625" customWidth="1"/>
    <col min="6" max="6" width="16.875" customWidth="1"/>
    <col min="7" max="7" width="15.625" customWidth="1"/>
    <col min="8" max="10" width="16" customWidth="1"/>
  </cols>
  <sheetData>
    <row r="1" ht="48" customHeight="1" spans="2:10">
      <c r="B1" s="161" t="s">
        <v>10</v>
      </c>
      <c r="C1" s="161"/>
      <c r="D1" s="161"/>
      <c r="E1" s="161"/>
      <c r="F1" s="161"/>
      <c r="G1" s="161"/>
      <c r="H1" s="161"/>
      <c r="I1" s="161"/>
      <c r="J1" s="161"/>
    </row>
    <row r="2" spans="2:2">
      <c r="B2" s="162"/>
    </row>
    <row r="3" spans="6:10">
      <c r="F3" s="118" t="s">
        <v>11</v>
      </c>
      <c r="G3" s="118"/>
      <c r="H3" s="118"/>
      <c r="I3" s="118"/>
      <c r="J3" s="118"/>
    </row>
    <row r="4" spans="2:10">
      <c r="B4" s="163" t="s">
        <v>12</v>
      </c>
      <c r="C4" s="163">
        <v>2021</v>
      </c>
      <c r="D4" s="163">
        <v>2022</v>
      </c>
      <c r="E4" s="163">
        <v>2023</v>
      </c>
      <c r="F4" s="163">
        <v>2024</v>
      </c>
      <c r="G4" s="163">
        <v>2025</v>
      </c>
      <c r="H4" s="163">
        <v>2026</v>
      </c>
      <c r="I4" s="163">
        <v>2027</v>
      </c>
      <c r="J4" s="163">
        <v>2028</v>
      </c>
    </row>
    <row r="5" spans="2:10">
      <c r="B5" s="164" t="s">
        <v>13</v>
      </c>
      <c r="C5" s="11">
        <v>14348950</v>
      </c>
      <c r="D5" s="11">
        <v>18707057</v>
      </c>
      <c r="E5" s="11">
        <v>29351725</v>
      </c>
      <c r="F5" s="11">
        <f>E5*(1+E18)</f>
        <v>42159965.2194454</v>
      </c>
      <c r="G5" s="11">
        <f>F5*(1+E18)</f>
        <v>60557349.4336311</v>
      </c>
      <c r="H5" s="11">
        <f>G5*(1+E18)</f>
        <v>86982817.7357102</v>
      </c>
      <c r="I5" s="11">
        <f>H5*(1+E18)</f>
        <v>124939592.832343</v>
      </c>
      <c r="J5" s="11">
        <f>I5*(1+E18)</f>
        <v>179459602.062341</v>
      </c>
    </row>
    <row r="6" spans="2:10">
      <c r="B6" s="136" t="s">
        <v>14</v>
      </c>
      <c r="C6" s="158">
        <v>-11924309</v>
      </c>
      <c r="D6" s="158">
        <v>-15830928</v>
      </c>
      <c r="E6" s="158">
        <v>-27059417</v>
      </c>
      <c r="F6" s="137">
        <f>F5*C20</f>
        <v>-36527106.3313672</v>
      </c>
      <c r="G6" s="137">
        <f>G5*C20</f>
        <v>-52466474.5427203</v>
      </c>
      <c r="H6" s="137">
        <f>H5*C20</f>
        <v>-75361320.0555676</v>
      </c>
      <c r="I6" s="137">
        <f>I5*C20</f>
        <v>-108246811.130665</v>
      </c>
      <c r="J6" s="137">
        <f>J5*C20</f>
        <v>-155482575.296161</v>
      </c>
    </row>
    <row r="7" spans="2:10">
      <c r="B7" s="165" t="s">
        <v>15</v>
      </c>
      <c r="C7" s="166">
        <f>SUM(C5:C6)</f>
        <v>2424641</v>
      </c>
      <c r="D7" s="166">
        <f t="shared" ref="D7:F7" si="0">SUM(D5:D6)</f>
        <v>2876129</v>
      </c>
      <c r="E7" s="166">
        <f t="shared" si="0"/>
        <v>2292308</v>
      </c>
      <c r="F7" s="166">
        <f t="shared" si="0"/>
        <v>5632858.88807818</v>
      </c>
      <c r="G7" s="166">
        <f t="shared" ref="G7:J7" si="1">SUM(G5:G6)</f>
        <v>8090874.89091085</v>
      </c>
      <c r="H7" s="166">
        <f t="shared" si="1"/>
        <v>11621497.6801427</v>
      </c>
      <c r="I7" s="166">
        <f t="shared" si="1"/>
        <v>16692781.7016778</v>
      </c>
      <c r="J7" s="166">
        <f t="shared" si="1"/>
        <v>23977026.7661793</v>
      </c>
    </row>
    <row r="8" spans="2:10">
      <c r="B8" s="136" t="s">
        <v>16</v>
      </c>
      <c r="C8" s="137">
        <v>1228917</v>
      </c>
      <c r="D8" s="137">
        <v>1431723</v>
      </c>
      <c r="E8" s="137">
        <v>1555404</v>
      </c>
      <c r="F8" s="137">
        <f>F5*E23</f>
        <v>3023865.01595683</v>
      </c>
      <c r="G8" s="137">
        <f>G5*E23</f>
        <v>4343391.87564062</v>
      </c>
      <c r="H8" s="137">
        <f>H5*E23</f>
        <v>6238721.92899839</v>
      </c>
      <c r="I8" s="137">
        <f>I5*E23</f>
        <v>8961118.96457068</v>
      </c>
      <c r="J8" s="137">
        <f>J5*E23</f>
        <v>12871490.9898349</v>
      </c>
    </row>
    <row r="9" spans="2:10">
      <c r="B9" s="167"/>
      <c r="C9" s="166">
        <f>SUM(C7:C8)</f>
        <v>3653558</v>
      </c>
      <c r="D9" s="166">
        <f t="shared" ref="D9:J9" si="2">SUM(D7:D8)</f>
        <v>4307852</v>
      </c>
      <c r="E9" s="166">
        <f t="shared" si="2"/>
        <v>3847712</v>
      </c>
      <c r="F9" s="166">
        <f t="shared" si="2"/>
        <v>8656723.90403501</v>
      </c>
      <c r="G9" s="166">
        <f t="shared" si="2"/>
        <v>12434266.7665515</v>
      </c>
      <c r="H9" s="166">
        <f t="shared" si="2"/>
        <v>17860219.6091411</v>
      </c>
      <c r="I9" s="166">
        <f t="shared" si="2"/>
        <v>25653900.6662485</v>
      </c>
      <c r="J9" s="166">
        <f t="shared" si="2"/>
        <v>36848517.7560142</v>
      </c>
    </row>
    <row r="10" spans="2:10">
      <c r="B10" s="136" t="s">
        <v>17</v>
      </c>
      <c r="C10" s="137">
        <v>65075</v>
      </c>
      <c r="D10" s="137">
        <v>32238</v>
      </c>
      <c r="E10" s="137">
        <v>14048</v>
      </c>
      <c r="F10" s="137">
        <f>E27*F5</f>
        <v>94678.506491594</v>
      </c>
      <c r="G10" s="137">
        <f>E27*G5</f>
        <v>135993.456626983</v>
      </c>
      <c r="H10" s="137">
        <f>E27*H5</f>
        <v>195337.05093877</v>
      </c>
      <c r="I10" s="137">
        <f>E27*I5</f>
        <v>280576.466073036</v>
      </c>
      <c r="J10" s="137">
        <f>E27*J5</f>
        <v>403011.886048745</v>
      </c>
    </row>
    <row r="11" spans="2:10">
      <c r="B11" s="165" t="s">
        <v>18</v>
      </c>
      <c r="C11" s="166">
        <f>SUM(C9:C10)</f>
        <v>3718633</v>
      </c>
      <c r="D11" s="166">
        <f t="shared" ref="D11:J11" si="3">SUM(D9:D10)</f>
        <v>4340090</v>
      </c>
      <c r="E11" s="166">
        <f t="shared" si="3"/>
        <v>3861760</v>
      </c>
      <c r="F11" s="166">
        <f t="shared" si="3"/>
        <v>8751402.41052661</v>
      </c>
      <c r="G11" s="166">
        <f t="shared" si="3"/>
        <v>12570260.2231785</v>
      </c>
      <c r="H11" s="166">
        <f t="shared" si="3"/>
        <v>18055556.6600798</v>
      </c>
      <c r="I11" s="166">
        <f t="shared" si="3"/>
        <v>25934477.1323216</v>
      </c>
      <c r="J11" s="166">
        <f t="shared" si="3"/>
        <v>37251529.6420629</v>
      </c>
    </row>
    <row r="12" spans="2:10">
      <c r="B12" s="136" t="s">
        <v>19</v>
      </c>
      <c r="C12" s="137">
        <v>-33697</v>
      </c>
      <c r="D12" s="137">
        <v>-59318</v>
      </c>
      <c r="E12" s="137">
        <v>-329260</v>
      </c>
      <c r="F12" s="137">
        <f>'Financial Liabilities'!C18</f>
        <v>11070</v>
      </c>
      <c r="G12" s="137">
        <f>'Financial Liabilities'!D18</f>
        <v>10643.5530813068</v>
      </c>
      <c r="H12" s="137">
        <f>'Financial Liabilities'!E18</f>
        <v>10131.8167788748</v>
      </c>
      <c r="I12" s="137">
        <f>'Financial Liabilities'!F18</f>
        <v>9517.73321595657</v>
      </c>
      <c r="J12" s="137">
        <f>'Financial Liabilities'!G18</f>
        <v>8780.83294045463</v>
      </c>
    </row>
    <row r="13" spans="2:10">
      <c r="B13" s="165" t="s">
        <v>20</v>
      </c>
      <c r="C13" s="166">
        <f>SUM(C11:C12)</f>
        <v>3684936</v>
      </c>
      <c r="D13" s="166">
        <f t="shared" ref="D13:F13" si="4">SUM(D11:D12)</f>
        <v>4280772</v>
      </c>
      <c r="E13" s="166">
        <f t="shared" si="4"/>
        <v>3532500</v>
      </c>
      <c r="F13" s="166">
        <f t="shared" si="4"/>
        <v>8762472.41052661</v>
      </c>
      <c r="G13" s="166">
        <f t="shared" ref="G13:J13" si="5">SUM(G11:G12)</f>
        <v>12580903.7762598</v>
      </c>
      <c r="H13" s="166">
        <f t="shared" si="5"/>
        <v>18065688.4768587</v>
      </c>
      <c r="I13" s="166">
        <f t="shared" si="5"/>
        <v>25943994.8655375</v>
      </c>
      <c r="J13" s="166">
        <f t="shared" si="5"/>
        <v>37260310.4750034</v>
      </c>
    </row>
    <row r="14" ht="14.25" spans="2:11">
      <c r="B14" s="168" t="s">
        <v>21</v>
      </c>
      <c r="C14" s="169">
        <v>-540050</v>
      </c>
      <c r="D14" s="169">
        <v>-854308</v>
      </c>
      <c r="E14" s="169">
        <v>-852742</v>
      </c>
      <c r="F14" s="169">
        <f>F13*C25</f>
        <v>-2541116.99905272</v>
      </c>
      <c r="G14" s="169">
        <f>G13*C25</f>
        <v>-3648462.09511533</v>
      </c>
      <c r="H14" s="169">
        <f>H13*C25</f>
        <v>-5239049.65828902</v>
      </c>
      <c r="I14" s="169">
        <f>I13*C25</f>
        <v>-7523758.51100588</v>
      </c>
      <c r="J14" s="169">
        <f>J13*C25</f>
        <v>-10805490.037751</v>
      </c>
      <c r="K14" s="158"/>
    </row>
    <row r="15" ht="14.25" spans="2:10">
      <c r="B15" s="170" t="s">
        <v>22</v>
      </c>
      <c r="C15" s="171">
        <f>SUM(C13:C14)</f>
        <v>3144886</v>
      </c>
      <c r="D15" s="171">
        <f t="shared" ref="D15:F15" si="6">SUM(D13:D14)</f>
        <v>3426464</v>
      </c>
      <c r="E15" s="171">
        <f t="shared" si="6"/>
        <v>2679758</v>
      </c>
      <c r="F15" s="171">
        <f t="shared" si="6"/>
        <v>6221355.41147389</v>
      </c>
      <c r="G15" s="171">
        <f t="shared" ref="G15:J15" si="7">SUM(G13:G14)</f>
        <v>8932441.68114443</v>
      </c>
      <c r="H15" s="171">
        <f t="shared" si="7"/>
        <v>12826638.8185697</v>
      </c>
      <c r="I15" s="171">
        <f t="shared" si="7"/>
        <v>18420236.3545316</v>
      </c>
      <c r="J15" s="171">
        <f t="shared" si="7"/>
        <v>26454820.4372524</v>
      </c>
    </row>
    <row r="16" spans="2:5">
      <c r="B16" s="172"/>
      <c r="C16" s="158"/>
      <c r="D16" s="158"/>
      <c r="E16" s="158"/>
    </row>
    <row r="17" spans="2:5">
      <c r="B17" s="4" t="s">
        <v>23</v>
      </c>
      <c r="C17" s="173"/>
      <c r="D17" s="174">
        <f>(D5-C5)/C5</f>
        <v>0.303723059875461</v>
      </c>
      <c r="E17" s="174">
        <f>(E5-D5)/D5</f>
        <v>0.569018846737891</v>
      </c>
    </row>
    <row r="18" spans="2:5">
      <c r="B18" s="4" t="s">
        <v>24</v>
      </c>
      <c r="C18" s="175"/>
      <c r="D18" s="175"/>
      <c r="E18" s="176">
        <f>AVERAGE(D17:E17)</f>
        <v>0.436370953306676</v>
      </c>
    </row>
    <row r="19" spans="2:5">
      <c r="B19" s="4" t="s">
        <v>25</v>
      </c>
      <c r="C19" s="174">
        <f>C6/C5</f>
        <v>-0.831023106220316</v>
      </c>
      <c r="D19" s="174">
        <f t="shared" ref="D19:E19" si="8">D6/D5</f>
        <v>-0.846254330651796</v>
      </c>
      <c r="E19" s="174">
        <f t="shared" si="8"/>
        <v>-0.921902102857668</v>
      </c>
    </row>
    <row r="20" spans="2:9">
      <c r="B20" s="4" t="s">
        <v>26</v>
      </c>
      <c r="C20" s="174">
        <f>AVERAGE(C19:E19)</f>
        <v>-0.866393179909927</v>
      </c>
      <c r="D20" s="175"/>
      <c r="E20" s="175"/>
      <c r="G20" s="158"/>
      <c r="H20" s="158"/>
      <c r="I20" s="158"/>
    </row>
    <row r="21" spans="2:5">
      <c r="B21" s="177"/>
      <c r="C21" s="173"/>
      <c r="D21" s="173"/>
      <c r="E21" s="173"/>
    </row>
    <row r="22" spans="2:5">
      <c r="B22" s="177" t="s">
        <v>27</v>
      </c>
      <c r="C22" s="178">
        <f>C8/C5</f>
        <v>0.0856450820443308</v>
      </c>
      <c r="D22" s="178">
        <f t="shared" ref="D22:E22" si="9">D8/D5</f>
        <v>0.0765338449548745</v>
      </c>
      <c r="E22" s="178">
        <f t="shared" si="9"/>
        <v>0.0529919110375966</v>
      </c>
    </row>
    <row r="23" spans="2:5">
      <c r="B23" s="177" t="s">
        <v>28</v>
      </c>
      <c r="C23" s="173"/>
      <c r="D23" s="173"/>
      <c r="E23" s="179">
        <f>AVERAGE(C22:E22)</f>
        <v>0.071723612678934</v>
      </c>
    </row>
    <row r="24" spans="2:5">
      <c r="B24" s="177"/>
      <c r="C24" s="173"/>
      <c r="D24" s="173"/>
      <c r="E24" s="173"/>
    </row>
    <row r="25" spans="2:5">
      <c r="B25" s="177" t="s">
        <v>29</v>
      </c>
      <c r="C25" s="179">
        <v>-0.29</v>
      </c>
      <c r="D25" s="173"/>
      <c r="E25" s="173"/>
    </row>
    <row r="26" spans="2:5">
      <c r="B26" s="4" t="s">
        <v>30</v>
      </c>
      <c r="C26" s="174">
        <f>C10/C5</f>
        <v>0.00453517504765157</v>
      </c>
      <c r="D26" s="174">
        <f>D10/D5</f>
        <v>0.00172330687825455</v>
      </c>
      <c r="E26" s="174">
        <f>E10/E5</f>
        <v>0.0004786090084995</v>
      </c>
    </row>
    <row r="27" spans="2:5">
      <c r="B27" s="4" t="s">
        <v>31</v>
      </c>
      <c r="C27" s="175"/>
      <c r="D27" s="175"/>
      <c r="E27" s="174">
        <f>AVERAGE(C26:E26)</f>
        <v>0.00224569697813521</v>
      </c>
    </row>
    <row r="28" spans="5:5">
      <c r="E28" s="180"/>
    </row>
    <row r="29" spans="2:10">
      <c r="B29" s="181" t="s">
        <v>32</v>
      </c>
      <c r="C29" s="182"/>
      <c r="D29" s="183">
        <f>'P&amp;L STATEMENT '!D11-'FIxed Asset Roll Forward'!D6</f>
        <v>4314261</v>
      </c>
      <c r="E29" s="183">
        <f>'P&amp;L STATEMENT '!E11-'FIxed Asset Roll Forward'!E6</f>
        <v>3833235</v>
      </c>
      <c r="F29" s="183">
        <f>'P&amp;L STATEMENT '!F11-'FIxed Asset Roll Forward'!F6</f>
        <v>8723250.73629234</v>
      </c>
      <c r="G29" s="183">
        <f>'P&amp;L STATEMENT '!G11-'FIxed Asset Roll Forward'!G6</f>
        <v>12540046.2822354</v>
      </c>
      <c r="H29" s="183">
        <f>'P&amp;L STATEMENT '!H11-'FIxed Asset Roll Forward'!H6</f>
        <v>18023087.1602884</v>
      </c>
      <c r="I29" s="183">
        <f>'P&amp;L STATEMENT '!I11-'FIxed Asset Roll Forward'!I6</f>
        <v>25899540.6646561</v>
      </c>
      <c r="J29" s="183">
        <f>'P&amp;L STATEMENT '!J11-'FIxed Asset Roll Forward'!J6</f>
        <v>37213894.982552</v>
      </c>
    </row>
  </sheetData>
  <mergeCells count="2">
    <mergeCell ref="B1:J1"/>
    <mergeCell ref="F3:J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33"/>
  <sheetViews>
    <sheetView topLeftCell="A2" workbookViewId="0">
      <selection activeCell="J5" sqref="J5"/>
    </sheetView>
  </sheetViews>
  <sheetFormatPr defaultColWidth="9" defaultRowHeight="13.5"/>
  <cols>
    <col min="2" max="2" width="29.375" customWidth="1"/>
    <col min="3" max="4" width="13.875" customWidth="1"/>
    <col min="5" max="10" width="14.75" customWidth="1"/>
  </cols>
  <sheetData>
    <row r="1" ht="15" spans="2:10">
      <c r="B1" s="117" t="s">
        <v>10</v>
      </c>
      <c r="C1" s="117"/>
      <c r="D1" s="117"/>
      <c r="E1" s="117"/>
      <c r="F1" s="117"/>
      <c r="G1" s="117"/>
      <c r="H1" s="117"/>
      <c r="I1" s="117"/>
      <c r="J1" s="117"/>
    </row>
    <row r="2" ht="15" spans="2:10">
      <c r="B2" s="117" t="s">
        <v>33</v>
      </c>
      <c r="C2" s="117"/>
      <c r="D2" s="117"/>
      <c r="E2" s="117"/>
      <c r="F2" s="117"/>
      <c r="G2" s="117"/>
      <c r="H2" s="117"/>
      <c r="I2" s="117"/>
      <c r="J2" s="117"/>
    </row>
    <row r="4" spans="6:10">
      <c r="F4" s="118" t="s">
        <v>11</v>
      </c>
      <c r="G4" s="119"/>
      <c r="H4" s="119"/>
      <c r="I4" s="119"/>
      <c r="J4" s="119"/>
    </row>
    <row r="5" spans="2:11">
      <c r="B5" s="107" t="s">
        <v>34</v>
      </c>
      <c r="C5" s="125">
        <v>44561</v>
      </c>
      <c r="D5" s="125">
        <v>44926</v>
      </c>
      <c r="E5" s="125">
        <v>45291</v>
      </c>
      <c r="F5" s="151">
        <v>45657</v>
      </c>
      <c r="G5" s="151">
        <v>46022</v>
      </c>
      <c r="H5" s="151">
        <v>46387</v>
      </c>
      <c r="I5" s="151">
        <v>46752</v>
      </c>
      <c r="J5" s="151">
        <v>47118</v>
      </c>
      <c r="K5" s="159"/>
    </row>
    <row r="6" ht="15" customHeight="1" spans="2:11">
      <c r="B6" s="3" t="s">
        <v>35</v>
      </c>
      <c r="C6" s="53">
        <v>10358678</v>
      </c>
      <c r="D6" s="53">
        <v>11641930</v>
      </c>
      <c r="E6" s="53">
        <v>10358678</v>
      </c>
      <c r="F6" s="53">
        <f>F20*'P&amp;L STATEMENT '!F5/360</f>
        <v>23850674.2581608</v>
      </c>
      <c r="G6" s="53">
        <f>G20*'P&amp;L STATEMENT '!G5/360</f>
        <v>6506550.76692459</v>
      </c>
      <c r="H6" s="53">
        <f>H20*'P&amp;L STATEMENT '!H5/360</f>
        <v>9345820.52782576</v>
      </c>
      <c r="I6" s="53">
        <f>I20*'P&amp;L STATEMENT '!I5/360</f>
        <v>13424065.1409862</v>
      </c>
      <c r="J6" s="53">
        <f>J20*'P&amp;L STATEMENT '!J5/360</f>
        <v>19281937.2438093</v>
      </c>
      <c r="K6" s="53"/>
    </row>
    <row r="7" spans="2:11">
      <c r="B7" s="3" t="s">
        <v>36</v>
      </c>
      <c r="C7" s="53">
        <v>1352302</v>
      </c>
      <c r="D7" s="53">
        <v>2165764</v>
      </c>
      <c r="E7" s="53">
        <v>4923408</v>
      </c>
      <c r="F7" s="53">
        <f>-F21*'P&amp;L STATEMENT '!F6/360</f>
        <v>5261864.57786582</v>
      </c>
      <c r="G7" s="53">
        <f>-G21*'P&amp;L STATEMENT '!G6/360</f>
        <v>7557989.43987976</v>
      </c>
      <c r="H7" s="53">
        <f>-H21*'P&amp;L STATEMENT '!H6/360</f>
        <v>10856076.4968419</v>
      </c>
      <c r="I7" s="53">
        <f>-I21*'P&amp;L STATEMENT '!I6/360</f>
        <v>15593352.946939</v>
      </c>
      <c r="J7" s="53">
        <f>-J21*'P&amp;L STATEMENT '!J6/360</f>
        <v>22397839.2376422</v>
      </c>
      <c r="K7" s="53"/>
    </row>
    <row r="8" spans="2:11">
      <c r="B8" s="3" t="s">
        <v>37</v>
      </c>
      <c r="C8" s="53">
        <v>258299</v>
      </c>
      <c r="D8" s="53">
        <v>326151</v>
      </c>
      <c r="E8" s="53">
        <v>300355</v>
      </c>
      <c r="F8" s="53">
        <f>'FIxed Asset Roll Forward'!F8</f>
        <v>322357.674234267</v>
      </c>
      <c r="G8" s="53">
        <f>'FIxed Asset Roll Forward'!G8</f>
        <v>346422.615177349</v>
      </c>
      <c r="H8" s="53">
        <f>'FIxed Asset Roll Forward'!H8</f>
        <v>372743.114968781</v>
      </c>
      <c r="I8" s="53">
        <f>'FIxed Asset Roll Forward'!I8</f>
        <v>401530.582634268</v>
      </c>
      <c r="J8" s="53">
        <f>'FIxed Asset Roll Forward'!J8</f>
        <v>433016.242145232</v>
      </c>
      <c r="K8" s="53"/>
    </row>
    <row r="9" spans="2:11">
      <c r="B9" s="3" t="s">
        <v>38</v>
      </c>
      <c r="C9" s="53">
        <v>2402311</v>
      </c>
      <c r="D9" s="53">
        <v>1474580</v>
      </c>
      <c r="E9" s="53">
        <v>968467</v>
      </c>
      <c r="F9" s="53">
        <f>E9+'Cash Flow '!C20</f>
        <v>7830012.47064865</v>
      </c>
      <c r="G9" s="53">
        <f>F9+'Cash Flow '!D20</f>
        <v>43891896.860369</v>
      </c>
      <c r="H9" s="53">
        <f>G9+'Cash Flow '!E20</f>
        <v>67942000.3092858</v>
      </c>
      <c r="I9" s="53">
        <f>H9+'Cash Flow '!F20</f>
        <v>102491609.516403</v>
      </c>
      <c r="J9" s="53">
        <f>I9+'Cash Flow '!G20</f>
        <v>152123538.539952</v>
      </c>
      <c r="K9" s="53"/>
    </row>
    <row r="10" spans="2:11">
      <c r="B10" s="3" t="s">
        <v>39</v>
      </c>
      <c r="C10" s="53">
        <v>3288039</v>
      </c>
      <c r="D10" s="53">
        <v>7500624</v>
      </c>
      <c r="E10" s="53">
        <v>22300068</v>
      </c>
      <c r="F10" s="53">
        <f>F22*'P&amp;L STATEMENT '!F5</f>
        <v>19532054.4095924</v>
      </c>
      <c r="G10" s="53">
        <f>G22*'P&amp;L STATEMENT '!G5</f>
        <v>28055275.6123441</v>
      </c>
      <c r="H10" s="53">
        <f>H22*'P&amp;L STATEMENT '!H5</f>
        <v>40297782.9765843</v>
      </c>
      <c r="I10" s="53">
        <f>I22*'P&amp;L STATEMENT '!I5</f>
        <v>57882564.9502219</v>
      </c>
      <c r="J10" s="53">
        <f>J22*'P&amp;L STATEMENT '!J5</f>
        <v>83140834.9973858</v>
      </c>
      <c r="K10" s="53"/>
    </row>
    <row r="11" ht="14.25" spans="2:11">
      <c r="B11" s="126" t="s">
        <v>40</v>
      </c>
      <c r="C11" s="152">
        <f t="shared" ref="C11:J11" si="0">SUM(C6:C10)</f>
        <v>17659629</v>
      </c>
      <c r="D11" s="152">
        <f t="shared" si="0"/>
        <v>23109049</v>
      </c>
      <c r="E11" s="152">
        <f t="shared" si="0"/>
        <v>38850976</v>
      </c>
      <c r="F11" s="152">
        <f t="shared" si="0"/>
        <v>56796963.3905019</v>
      </c>
      <c r="G11" s="152">
        <f t="shared" si="0"/>
        <v>86358135.2946949</v>
      </c>
      <c r="H11" s="152">
        <f t="shared" si="0"/>
        <v>128814423.425506</v>
      </c>
      <c r="I11" s="152">
        <f t="shared" si="0"/>
        <v>189793123.137184</v>
      </c>
      <c r="J11" s="152">
        <f t="shared" si="0"/>
        <v>277377166.260935</v>
      </c>
      <c r="K11" s="53"/>
    </row>
    <row r="12" spans="2:11">
      <c r="B12" s="3"/>
      <c r="C12" s="53"/>
      <c r="D12" s="53"/>
      <c r="E12" s="53"/>
      <c r="F12" s="53"/>
      <c r="G12" s="53"/>
      <c r="H12" s="53"/>
      <c r="I12" s="53"/>
      <c r="J12" s="53"/>
      <c r="K12" s="53"/>
    </row>
    <row r="13" ht="15" customHeight="1" spans="2:11">
      <c r="B13" s="3" t="s">
        <v>41</v>
      </c>
      <c r="C13" s="53">
        <v>6613861</v>
      </c>
      <c r="D13" s="53">
        <v>8970865</v>
      </c>
      <c r="E13" s="53">
        <v>20002471</v>
      </c>
      <c r="F13" s="53">
        <f>-F23*'P&amp;L STATEMENT '!F6/360</f>
        <v>22653212.5590531</v>
      </c>
      <c r="G13" s="53">
        <f>-G23*'P&amp;L STATEMENT '!G6/360</f>
        <v>32538416.5189058</v>
      </c>
      <c r="H13" s="53">
        <f>-H23*'P&amp;L STATEMENT '!H6/360</f>
        <v>46737236.3543505</v>
      </c>
      <c r="I13" s="53">
        <f>-I23*'P&amp;L STATEMENT '!I6/360</f>
        <v>67132008.7372179</v>
      </c>
      <c r="J13" s="53">
        <f>-J23*'P&amp;L STATEMENT '!J6/360</f>
        <v>96426467.3872697</v>
      </c>
      <c r="K13" s="53"/>
    </row>
    <row r="14" spans="2:11">
      <c r="B14" s="3" t="s">
        <v>42</v>
      </c>
      <c r="C14" s="53">
        <v>541728</v>
      </c>
      <c r="D14" s="53">
        <v>649152</v>
      </c>
      <c r="E14" s="53">
        <v>1208441</v>
      </c>
      <c r="F14" s="53">
        <v>1208441</v>
      </c>
      <c r="G14" s="53">
        <v>1208441</v>
      </c>
      <c r="H14" s="53">
        <v>1208441</v>
      </c>
      <c r="I14" s="53">
        <v>1208441</v>
      </c>
      <c r="J14" s="53">
        <v>1208441</v>
      </c>
      <c r="K14" s="53"/>
    </row>
    <row r="15" spans="2:11">
      <c r="B15" s="3" t="s">
        <v>43</v>
      </c>
      <c r="C15" s="53">
        <v>131366</v>
      </c>
      <c r="D15" s="53">
        <v>31441</v>
      </c>
      <c r="E15" s="53">
        <v>55350</v>
      </c>
      <c r="F15" s="53">
        <f>'Financial Liabilities'!F8</f>
        <v>53217.7654065337</v>
      </c>
      <c r="G15" s="53">
        <f>'Financial Liabilities'!G8</f>
        <v>50659.0838943742</v>
      </c>
      <c r="H15" s="53">
        <f>'Financial Liabilities'!H8</f>
        <v>47588.6660797828</v>
      </c>
      <c r="I15" s="53">
        <f>'Financial Liabilities'!I8</f>
        <v>43904.1647022731</v>
      </c>
      <c r="J15" s="53">
        <f>'Financial Liabilities'!J8</f>
        <v>39482.7630492615</v>
      </c>
      <c r="K15" s="53"/>
    </row>
    <row r="16" spans="2:11">
      <c r="B16" s="3" t="s">
        <v>44</v>
      </c>
      <c r="C16" s="53">
        <v>4811358</v>
      </c>
      <c r="D16" s="53">
        <v>6366672</v>
      </c>
      <c r="E16" s="53">
        <v>9850617</v>
      </c>
      <c r="F16" s="53">
        <f>F24*'P&amp;L STATEMENT '!F5</f>
        <v>16438097.4899789</v>
      </c>
      <c r="G16" s="53">
        <f>G24*'P&amp;L STATEMENT '!G5</f>
        <v>23611205.762229</v>
      </c>
      <c r="H16" s="53">
        <f>H24*'P&amp;L STATEMENT '!H5</f>
        <v>33914450.129413</v>
      </c>
      <c r="I16" s="53">
        <f>I24*'P&amp;L STATEMENT '!I5</f>
        <v>48713731.0632566</v>
      </c>
      <c r="J16" s="53">
        <f>J24*'P&amp;L STATEMENT '!J5</f>
        <v>69970988.326455</v>
      </c>
      <c r="K16" s="53"/>
    </row>
    <row r="17" spans="2:11">
      <c r="B17" s="3" t="s">
        <v>45</v>
      </c>
      <c r="C17" s="53">
        <v>5561316</v>
      </c>
      <c r="D17" s="53">
        <v>7090919</v>
      </c>
      <c r="E17" s="53">
        <v>7734097</v>
      </c>
      <c r="F17" s="53">
        <f>'Equity Schedule'!D9</f>
        <v>16443994.5760634</v>
      </c>
      <c r="G17" s="53">
        <f>'Equity Schedule'!E9</f>
        <v>28949412.9296657</v>
      </c>
      <c r="H17" s="53">
        <f>'Equity Schedule'!F9</f>
        <v>46906707.2756632</v>
      </c>
      <c r="I17" s="53">
        <f>'Equity Schedule'!G9</f>
        <v>72695038.1720075</v>
      </c>
      <c r="J17" s="53">
        <f>'Equity Schedule'!H9</f>
        <v>109731786.784161</v>
      </c>
      <c r="K17" s="53"/>
    </row>
    <row r="18" ht="14.25" spans="2:11">
      <c r="B18" s="126" t="s">
        <v>46</v>
      </c>
      <c r="C18" s="152">
        <f t="shared" ref="C18:J18" si="1">SUM(C13:C17)</f>
        <v>17659629</v>
      </c>
      <c r="D18" s="152">
        <f t="shared" si="1"/>
        <v>23109049</v>
      </c>
      <c r="E18" s="152">
        <f t="shared" si="1"/>
        <v>38850976</v>
      </c>
      <c r="F18" s="152">
        <f t="shared" si="1"/>
        <v>56796963.3905019</v>
      </c>
      <c r="G18" s="152">
        <f t="shared" si="1"/>
        <v>86358135.2946949</v>
      </c>
      <c r="H18" s="152">
        <f t="shared" si="1"/>
        <v>128814423.425506</v>
      </c>
      <c r="I18" s="152">
        <f t="shared" si="1"/>
        <v>189793123.137184</v>
      </c>
      <c r="J18" s="152">
        <f t="shared" si="1"/>
        <v>277377166.260935</v>
      </c>
      <c r="K18" s="3"/>
    </row>
    <row r="20" spans="2:12">
      <c r="B20" s="4" t="s">
        <v>47</v>
      </c>
      <c r="C20" s="153">
        <f>C6/'P&amp;L STATEMENT '!C5*360</f>
        <v>259.888290083943</v>
      </c>
      <c r="D20" s="153">
        <f>D6/'P&amp;L STATEMENT '!D5*360</f>
        <v>224.03816912516</v>
      </c>
      <c r="E20" s="153">
        <f>E6/'P&amp;L STATEMENT '!E5*360</f>
        <v>127.049571362501</v>
      </c>
      <c r="F20" s="153">
        <f t="shared" ref="F20:F24" si="2">AVERAGE(C20:E20)</f>
        <v>203.658676857201</v>
      </c>
      <c r="G20" s="153">
        <v>38.68</v>
      </c>
      <c r="H20" s="153">
        <v>38.68</v>
      </c>
      <c r="I20" s="153">
        <v>38.68</v>
      </c>
      <c r="J20" s="153">
        <v>38.68</v>
      </c>
      <c r="K20" s="160"/>
      <c r="L20" s="3"/>
    </row>
    <row r="21" spans="2:12">
      <c r="B21" s="4" t="s">
        <v>48</v>
      </c>
      <c r="C21" s="153">
        <f>-C7/'P&amp;L STATEMENT '!C6*360</f>
        <v>40.8265770368748</v>
      </c>
      <c r="D21" s="153">
        <f>-D7/'P&amp;L STATEMENT '!D6*360</f>
        <v>49.2501159755132</v>
      </c>
      <c r="E21" s="153">
        <f>-E7/'P&amp;L STATEMENT '!E6*360</f>
        <v>65.5012959074469</v>
      </c>
      <c r="F21" s="153">
        <f t="shared" si="2"/>
        <v>51.859329639945</v>
      </c>
      <c r="G21" s="153">
        <f t="shared" ref="G21:G24" si="3">F21</f>
        <v>51.859329639945</v>
      </c>
      <c r="H21" s="153">
        <f t="shared" ref="H21:J21" si="4">G21</f>
        <v>51.859329639945</v>
      </c>
      <c r="I21" s="153">
        <f t="shared" si="4"/>
        <v>51.859329639945</v>
      </c>
      <c r="J21" s="153">
        <f t="shared" si="4"/>
        <v>51.859329639945</v>
      </c>
      <c r="K21" s="160"/>
      <c r="L21" s="3"/>
    </row>
    <row r="22" spans="2:12">
      <c r="B22" s="4" t="s">
        <v>49</v>
      </c>
      <c r="C22" s="154">
        <f>C10/'P&amp;L STATEMENT '!C5</f>
        <v>0.229148404587095</v>
      </c>
      <c r="D22" s="154">
        <f>D10/'P&amp;L STATEMENT '!D5</f>
        <v>0.400951576723159</v>
      </c>
      <c r="E22" s="154">
        <f>E10/'P&amp;L STATEMENT '!E5</f>
        <v>0.759753234264766</v>
      </c>
      <c r="F22" s="154">
        <f t="shared" si="2"/>
        <v>0.463284405191673</v>
      </c>
      <c r="G22" s="154">
        <f t="shared" si="3"/>
        <v>0.463284405191673</v>
      </c>
      <c r="H22" s="154">
        <f t="shared" ref="H22:J22" si="5">G22</f>
        <v>0.463284405191673</v>
      </c>
      <c r="I22" s="154">
        <f t="shared" si="5"/>
        <v>0.463284405191673</v>
      </c>
      <c r="J22" s="154">
        <f t="shared" si="5"/>
        <v>0.463284405191673</v>
      </c>
      <c r="K22" s="160"/>
      <c r="L22" s="3"/>
    </row>
    <row r="23" spans="2:12">
      <c r="B23" s="4" t="s">
        <v>50</v>
      </c>
      <c r="C23" s="153">
        <f>-C13/'P&amp;L STATEMENT '!C6*360</f>
        <v>199.675298585436</v>
      </c>
      <c r="D23" s="153">
        <f>-D13/'P&amp;L STATEMENT '!D6*360</f>
        <v>204.000131893721</v>
      </c>
      <c r="E23" s="153">
        <f>-E13/'P&amp;L STATEMENT '!E6*360</f>
        <v>266.113994991097</v>
      </c>
      <c r="F23" s="153">
        <f t="shared" si="2"/>
        <v>223.263141823418</v>
      </c>
      <c r="G23" s="153">
        <f t="shared" si="3"/>
        <v>223.263141823418</v>
      </c>
      <c r="H23" s="153">
        <f t="shared" ref="H23:J23" si="6">G23</f>
        <v>223.263141823418</v>
      </c>
      <c r="I23" s="153">
        <f t="shared" si="6"/>
        <v>223.263141823418</v>
      </c>
      <c r="J23" s="153">
        <f t="shared" si="6"/>
        <v>223.263141823418</v>
      </c>
      <c r="K23" s="160"/>
      <c r="L23" s="3"/>
    </row>
    <row r="24" spans="2:12">
      <c r="B24" s="4" t="s">
        <v>51</v>
      </c>
      <c r="C24" s="154">
        <f>-C16/'P&amp;L STATEMENT '!C6</f>
        <v>0.403491556617662</v>
      </c>
      <c r="D24" s="154">
        <f>-D16/'P&amp;L STATEMENT '!D6</f>
        <v>0.402166695471043</v>
      </c>
      <c r="E24" s="154">
        <f>-E16/'P&amp;L STATEMENT '!E6</f>
        <v>0.364036557032992</v>
      </c>
      <c r="F24" s="154">
        <f t="shared" si="2"/>
        <v>0.389898269707232</v>
      </c>
      <c r="G24" s="154">
        <f t="shared" si="3"/>
        <v>0.389898269707232</v>
      </c>
      <c r="H24" s="154">
        <f t="shared" ref="H24:J24" si="7">G24</f>
        <v>0.389898269707232</v>
      </c>
      <c r="I24" s="154">
        <f t="shared" si="7"/>
        <v>0.389898269707232</v>
      </c>
      <c r="J24" s="154">
        <f t="shared" si="7"/>
        <v>0.389898269707232</v>
      </c>
      <c r="K24" s="160"/>
      <c r="L24" s="3"/>
    </row>
    <row r="25" spans="2:12">
      <c r="B25" s="3"/>
      <c r="C25" s="155"/>
      <c r="D25" s="155"/>
      <c r="E25" s="155"/>
      <c r="F25" s="155"/>
      <c r="G25" s="155"/>
      <c r="H25" s="155"/>
      <c r="I25" s="155"/>
      <c r="J25" s="155"/>
      <c r="K25" s="3"/>
      <c r="L25" s="3"/>
    </row>
    <row r="26" spans="2:12">
      <c r="B26" s="3"/>
      <c r="C26" s="155"/>
      <c r="D26" s="155"/>
      <c r="E26" s="155"/>
      <c r="F26" s="155"/>
      <c r="G26" s="155"/>
      <c r="H26" s="155"/>
      <c r="I26" s="155"/>
      <c r="J26" s="155"/>
      <c r="K26" s="3"/>
      <c r="L26" s="3"/>
    </row>
    <row r="27" spans="2:12">
      <c r="B27" s="156" t="s">
        <v>52</v>
      </c>
      <c r="C27" s="157">
        <f t="shared" ref="C27:J27" si="8">C11-C18</f>
        <v>0</v>
      </c>
      <c r="D27" s="157">
        <f t="shared" si="8"/>
        <v>0</v>
      </c>
      <c r="E27" s="157">
        <f t="shared" si="8"/>
        <v>0</v>
      </c>
      <c r="F27" s="157">
        <f t="shared" si="8"/>
        <v>0</v>
      </c>
      <c r="G27" s="157">
        <f t="shared" si="8"/>
        <v>0</v>
      </c>
      <c r="H27" s="157">
        <f t="shared" si="8"/>
        <v>0</v>
      </c>
      <c r="I27" s="157">
        <f t="shared" si="8"/>
        <v>0</v>
      </c>
      <c r="J27" s="157">
        <f t="shared" si="8"/>
        <v>0</v>
      </c>
      <c r="K27" s="3"/>
      <c r="L27" s="3"/>
    </row>
    <row r="33" spans="3:6">
      <c r="C33" s="158">
        <f>C11-C18</f>
        <v>0</v>
      </c>
      <c r="D33" s="158">
        <f>D11-D18</f>
        <v>0</v>
      </c>
      <c r="E33" s="158">
        <f>E11-E18</f>
        <v>0</v>
      </c>
      <c r="F33" s="158">
        <f>F11-F18</f>
        <v>0</v>
      </c>
    </row>
  </sheetData>
  <mergeCells count="3">
    <mergeCell ref="B1:J1"/>
    <mergeCell ref="B2:J2"/>
    <mergeCell ref="F4:J4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0"/>
  <sheetViews>
    <sheetView workbookViewId="0">
      <selection activeCell="J4" sqref="J4"/>
    </sheetView>
  </sheetViews>
  <sheetFormatPr defaultColWidth="9" defaultRowHeight="13.5"/>
  <cols>
    <col min="2" max="2" width="21.125" style="26" customWidth="1"/>
    <col min="3" max="3" width="13.5" customWidth="1"/>
    <col min="4" max="10" width="12.5" customWidth="1"/>
    <col min="11" max="12" width="12.125" customWidth="1"/>
  </cols>
  <sheetData>
    <row r="1" ht="15.75" spans="2:10">
      <c r="B1" s="24" t="s">
        <v>43</v>
      </c>
      <c r="C1" s="24"/>
      <c r="D1" s="24"/>
      <c r="E1" s="24"/>
      <c r="F1" s="24"/>
      <c r="G1" s="24"/>
      <c r="H1" s="24"/>
      <c r="I1" s="24"/>
      <c r="J1" s="24"/>
    </row>
    <row r="3" spans="6:10">
      <c r="F3" s="133" t="s">
        <v>11</v>
      </c>
      <c r="G3" s="133"/>
      <c r="H3" s="133"/>
      <c r="I3" s="133"/>
      <c r="J3" s="133"/>
    </row>
    <row r="4" spans="2:10">
      <c r="B4" s="134" t="s">
        <v>53</v>
      </c>
      <c r="C4" s="135">
        <v>44561</v>
      </c>
      <c r="D4" s="135">
        <v>44926</v>
      </c>
      <c r="E4" s="135">
        <v>45291</v>
      </c>
      <c r="F4" s="135">
        <v>45657</v>
      </c>
      <c r="G4" s="135">
        <v>46022</v>
      </c>
      <c r="H4" s="135">
        <v>46387</v>
      </c>
      <c r="I4" s="135">
        <v>46752</v>
      </c>
      <c r="J4" s="135">
        <v>47118</v>
      </c>
    </row>
    <row r="5" spans="2:11">
      <c r="B5" s="136" t="s">
        <v>54</v>
      </c>
      <c r="C5" s="137"/>
      <c r="D5" s="137">
        <f>C8</f>
        <v>131366</v>
      </c>
      <c r="E5" s="137">
        <f>D8</f>
        <v>31441</v>
      </c>
      <c r="F5" s="137">
        <f>E8</f>
        <v>55350</v>
      </c>
      <c r="G5" s="137">
        <f>C20</f>
        <v>53217.7654065337</v>
      </c>
      <c r="H5" s="137">
        <f>D20</f>
        <v>50659.0838943742</v>
      </c>
      <c r="I5" s="137">
        <f>E20</f>
        <v>47588.6660797828</v>
      </c>
      <c r="J5" s="137">
        <f>F20</f>
        <v>43904.1647022731</v>
      </c>
      <c r="K5" s="150"/>
    </row>
    <row r="6" spans="2:11">
      <c r="B6" s="136" t="s">
        <v>55</v>
      </c>
      <c r="C6" s="137"/>
      <c r="D6" s="137">
        <v>0</v>
      </c>
      <c r="E6" s="137">
        <f>IF(E8&gt;E5,E8-E5)</f>
        <v>23909</v>
      </c>
      <c r="F6" s="137">
        <v>0</v>
      </c>
      <c r="G6" s="137">
        <v>0</v>
      </c>
      <c r="H6" s="137">
        <v>0</v>
      </c>
      <c r="I6" s="137">
        <v>0</v>
      </c>
      <c r="J6" s="137">
        <v>0</v>
      </c>
      <c r="K6" s="150"/>
    </row>
    <row r="7" spans="2:11">
      <c r="B7" s="136" t="s">
        <v>56</v>
      </c>
      <c r="C7" s="137"/>
      <c r="D7" s="137">
        <f>IF(D5&gt;D8,D5-D8)</f>
        <v>99925</v>
      </c>
      <c r="E7" s="137">
        <v>0</v>
      </c>
      <c r="F7" s="137">
        <f>C19</f>
        <v>-2132.23459346625</v>
      </c>
      <c r="G7" s="137">
        <f>D19</f>
        <v>-2558.6815121595</v>
      </c>
      <c r="H7" s="137">
        <f>E19</f>
        <v>-3070.4178145914</v>
      </c>
      <c r="I7" s="137">
        <f>F19</f>
        <v>-3684.50137750968</v>
      </c>
      <c r="J7" s="137">
        <f>G19</f>
        <v>-4421.40165301162</v>
      </c>
      <c r="K7" s="150"/>
    </row>
    <row r="8" ht="14.25" spans="2:10">
      <c r="B8" s="138" t="s">
        <v>57</v>
      </c>
      <c r="C8" s="123">
        <f>'Balance Sheet'!C15</f>
        <v>131366</v>
      </c>
      <c r="D8" s="123">
        <f>'Balance Sheet'!D15</f>
        <v>31441</v>
      </c>
      <c r="E8" s="123">
        <f>'Balance Sheet'!E15</f>
        <v>55350</v>
      </c>
      <c r="F8" s="123">
        <f>SUM(F5:F7)</f>
        <v>53217.7654065337</v>
      </c>
      <c r="G8" s="123">
        <f t="shared" ref="G8:J8" si="0">SUM(G5:G7)</f>
        <v>50659.0838943742</v>
      </c>
      <c r="H8" s="123">
        <f t="shared" si="0"/>
        <v>47588.6660797828</v>
      </c>
      <c r="I8" s="123">
        <f t="shared" si="0"/>
        <v>43904.1647022731</v>
      </c>
      <c r="J8" s="123">
        <f t="shared" si="0"/>
        <v>39482.7630492615</v>
      </c>
    </row>
    <row r="9" spans="2:2">
      <c r="B9"/>
    </row>
    <row r="10" spans="2:3">
      <c r="B10" s="3"/>
      <c r="C10" s="3"/>
    </row>
    <row r="11" spans="2:3">
      <c r="B11" s="139" t="s">
        <v>58</v>
      </c>
      <c r="C11" s="140">
        <v>0.2</v>
      </c>
    </row>
    <row r="12" spans="2:3">
      <c r="B12" s="139" t="s">
        <v>59</v>
      </c>
      <c r="C12" s="141">
        <v>10</v>
      </c>
    </row>
    <row r="13" spans="2:3">
      <c r="B13" s="142" t="s">
        <v>60</v>
      </c>
      <c r="C13" s="143">
        <f>PMT(C11,C12,E8)</f>
        <v>-13202.2345934663</v>
      </c>
    </row>
    <row r="14" spans="2:3">
      <c r="B14" s="144"/>
      <c r="C14" s="3"/>
    </row>
    <row r="16" spans="2:12">
      <c r="B16" s="145" t="s">
        <v>61</v>
      </c>
      <c r="C16" s="146">
        <v>1</v>
      </c>
      <c r="D16" s="146">
        <v>2</v>
      </c>
      <c r="E16" s="146">
        <v>3</v>
      </c>
      <c r="F16" s="146">
        <v>4</v>
      </c>
      <c r="G16" s="146">
        <v>5</v>
      </c>
      <c r="H16" s="146">
        <v>6</v>
      </c>
      <c r="I16" s="146">
        <v>7</v>
      </c>
      <c r="J16" s="146">
        <v>8</v>
      </c>
      <c r="K16" s="146">
        <v>9</v>
      </c>
      <c r="L16" s="146">
        <v>10</v>
      </c>
    </row>
    <row r="17" spans="2:12">
      <c r="B17" s="147" t="s">
        <v>62</v>
      </c>
      <c r="C17" s="148">
        <f>C13</f>
        <v>-13202.2345934663</v>
      </c>
      <c r="D17" s="148">
        <f>C13</f>
        <v>-13202.2345934663</v>
      </c>
      <c r="E17" s="148">
        <f>C13</f>
        <v>-13202.2345934663</v>
      </c>
      <c r="F17" s="148">
        <f>C13</f>
        <v>-13202.2345934663</v>
      </c>
      <c r="G17" s="148">
        <f>C13</f>
        <v>-13202.2345934663</v>
      </c>
      <c r="H17" s="148">
        <f>C13</f>
        <v>-13202.2345934663</v>
      </c>
      <c r="I17" s="148">
        <f>C13</f>
        <v>-13202.2345934663</v>
      </c>
      <c r="J17" s="148">
        <f>C13</f>
        <v>-13202.2345934663</v>
      </c>
      <c r="K17" s="148">
        <f>C13</f>
        <v>-13202.2345934663</v>
      </c>
      <c r="L17" s="148">
        <f>C13</f>
        <v>-13202.2345934663</v>
      </c>
    </row>
    <row r="18" spans="2:12">
      <c r="B18" s="149" t="s">
        <v>63</v>
      </c>
      <c r="C18" s="18">
        <f>E8*C11</f>
        <v>11070</v>
      </c>
      <c r="D18" s="18">
        <f t="shared" ref="D18:L18" si="1">C20*0.2</f>
        <v>10643.5530813068</v>
      </c>
      <c r="E18" s="18">
        <f t="shared" si="1"/>
        <v>10131.8167788748</v>
      </c>
      <c r="F18" s="18">
        <f t="shared" si="1"/>
        <v>9517.73321595657</v>
      </c>
      <c r="G18" s="18">
        <f t="shared" si="1"/>
        <v>8780.83294045463</v>
      </c>
      <c r="H18" s="18">
        <f t="shared" si="1"/>
        <v>7896.55260985231</v>
      </c>
      <c r="I18" s="18">
        <f t="shared" si="1"/>
        <v>6835.41621312952</v>
      </c>
      <c r="J18" s="18">
        <f t="shared" si="1"/>
        <v>5562.05253706217</v>
      </c>
      <c r="K18" s="18">
        <f t="shared" si="1"/>
        <v>4034.01612578135</v>
      </c>
      <c r="L18" s="18">
        <f t="shared" si="1"/>
        <v>2200.37243224437</v>
      </c>
    </row>
    <row r="19" spans="2:12">
      <c r="B19" s="149" t="s">
        <v>56</v>
      </c>
      <c r="C19" s="18">
        <f t="shared" ref="C19:L19" si="2">C17+C18</f>
        <v>-2132.23459346625</v>
      </c>
      <c r="D19" s="18">
        <f t="shared" si="2"/>
        <v>-2558.6815121595</v>
      </c>
      <c r="E19" s="18">
        <f t="shared" si="2"/>
        <v>-3070.4178145914</v>
      </c>
      <c r="F19" s="18">
        <f t="shared" si="2"/>
        <v>-3684.50137750968</v>
      </c>
      <c r="G19" s="18">
        <f t="shared" si="2"/>
        <v>-4421.40165301162</v>
      </c>
      <c r="H19" s="18">
        <f t="shared" si="2"/>
        <v>-5305.68198361395</v>
      </c>
      <c r="I19" s="18">
        <f t="shared" si="2"/>
        <v>-6366.81838033674</v>
      </c>
      <c r="J19" s="18">
        <f t="shared" si="2"/>
        <v>-7640.18205640408</v>
      </c>
      <c r="K19" s="18">
        <f t="shared" si="2"/>
        <v>-9168.2184676849</v>
      </c>
      <c r="L19" s="18">
        <f t="shared" si="2"/>
        <v>-11001.8621612219</v>
      </c>
    </row>
    <row r="20" spans="2:12">
      <c r="B20" s="149" t="s">
        <v>64</v>
      </c>
      <c r="C20" s="18">
        <f>E8+C19</f>
        <v>53217.7654065337</v>
      </c>
      <c r="D20" s="18">
        <f t="shared" ref="D20:L20" si="3">C20+D19</f>
        <v>50659.0838943742</v>
      </c>
      <c r="E20" s="18">
        <f t="shared" si="3"/>
        <v>47588.6660797828</v>
      </c>
      <c r="F20" s="18">
        <f t="shared" si="3"/>
        <v>43904.1647022731</v>
      </c>
      <c r="G20" s="18">
        <f t="shared" si="3"/>
        <v>39482.7630492615</v>
      </c>
      <c r="H20" s="18">
        <f t="shared" si="3"/>
        <v>34177.0810656476</v>
      </c>
      <c r="I20" s="18">
        <f t="shared" si="3"/>
        <v>27810.2626853108</v>
      </c>
      <c r="J20" s="18">
        <f t="shared" si="3"/>
        <v>20170.0806289068</v>
      </c>
      <c r="K20" s="18">
        <f t="shared" si="3"/>
        <v>11001.8621612219</v>
      </c>
      <c r="L20" s="18">
        <f t="shared" si="3"/>
        <v>-2.00088834390044e-11</v>
      </c>
    </row>
  </sheetData>
  <mergeCells count="2">
    <mergeCell ref="B1:J1"/>
    <mergeCell ref="F3:J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14"/>
  <sheetViews>
    <sheetView workbookViewId="0">
      <selection activeCell="J4" sqref="J4"/>
    </sheetView>
  </sheetViews>
  <sheetFormatPr defaultColWidth="9" defaultRowHeight="13.5"/>
  <cols>
    <col min="2" max="2" width="28" customWidth="1"/>
    <col min="3" max="3" width="13.375" customWidth="1"/>
    <col min="4" max="7" width="12.5" customWidth="1"/>
    <col min="8" max="10" width="13.875" customWidth="1"/>
  </cols>
  <sheetData>
    <row r="1" ht="15.75" spans="2:10">
      <c r="B1" s="124" t="s">
        <v>65</v>
      </c>
      <c r="C1" s="124"/>
      <c r="D1" s="124"/>
      <c r="E1" s="124"/>
      <c r="F1" s="124"/>
      <c r="G1" s="124"/>
      <c r="H1" s="124"/>
      <c r="I1" s="124"/>
      <c r="J1" s="124"/>
    </row>
    <row r="3" spans="6:10">
      <c r="F3" s="105" t="s">
        <v>66</v>
      </c>
      <c r="G3" s="106"/>
      <c r="H3" s="106"/>
      <c r="I3" s="106"/>
      <c r="J3" s="106"/>
    </row>
    <row r="4" spans="2:10">
      <c r="B4" s="107" t="s">
        <v>53</v>
      </c>
      <c r="C4" s="125">
        <v>44561</v>
      </c>
      <c r="D4" s="125">
        <v>44926</v>
      </c>
      <c r="E4" s="125">
        <v>45291</v>
      </c>
      <c r="F4" s="125">
        <v>45657</v>
      </c>
      <c r="G4" s="125">
        <v>46022</v>
      </c>
      <c r="H4" s="125">
        <v>46387</v>
      </c>
      <c r="I4" s="125">
        <v>46752</v>
      </c>
      <c r="J4" s="125">
        <v>47118</v>
      </c>
    </row>
    <row r="5" spans="2:10">
      <c r="B5" s="3" t="s">
        <v>67</v>
      </c>
      <c r="C5" s="109"/>
      <c r="D5" s="109">
        <f t="shared" ref="D5:J5" si="0">C8</f>
        <v>258299</v>
      </c>
      <c r="E5" s="109">
        <f t="shared" si="0"/>
        <v>326151</v>
      </c>
      <c r="F5" s="109">
        <f t="shared" si="0"/>
        <v>300355</v>
      </c>
      <c r="G5" s="109">
        <f t="shared" si="0"/>
        <v>322357.674234267</v>
      </c>
      <c r="H5" s="109">
        <f t="shared" si="0"/>
        <v>346422.615177349</v>
      </c>
      <c r="I5" s="109">
        <f t="shared" si="0"/>
        <v>372743.114968781</v>
      </c>
      <c r="J5" s="109">
        <f t="shared" si="0"/>
        <v>401530.582634268</v>
      </c>
    </row>
    <row r="6" spans="2:10">
      <c r="B6" s="3" t="s">
        <v>68</v>
      </c>
      <c r="C6" s="109"/>
      <c r="D6" s="109">
        <v>25829</v>
      </c>
      <c r="E6" s="109">
        <v>28525</v>
      </c>
      <c r="F6" s="109">
        <f>F5*F10</f>
        <v>28151.6742342674</v>
      </c>
      <c r="G6" s="109">
        <f>G5*G10</f>
        <v>30213.9409430814</v>
      </c>
      <c r="H6" s="109">
        <f>H5*H10</f>
        <v>32469.4997914325</v>
      </c>
      <c r="I6" s="109">
        <f>I5*I10</f>
        <v>34936.4676654866</v>
      </c>
      <c r="J6" s="109">
        <f>J5*J10</f>
        <v>37634.6595109637</v>
      </c>
    </row>
    <row r="7" spans="2:10">
      <c r="B7" s="3" t="s">
        <v>69</v>
      </c>
      <c r="C7" s="109"/>
      <c r="D7" s="109">
        <f>D8-D5-D6</f>
        <v>42023</v>
      </c>
      <c r="E7" s="109">
        <f>E8-E5-E6</f>
        <v>-54321</v>
      </c>
      <c r="F7" s="109">
        <f>AVERAGE(D7:E7)</f>
        <v>-6149</v>
      </c>
      <c r="G7" s="109">
        <f>AVERAGE(D7:E7)</f>
        <v>-6149</v>
      </c>
      <c r="H7" s="109">
        <f>AVERAGE(D7:E7)</f>
        <v>-6149</v>
      </c>
      <c r="I7" s="109">
        <f>AVERAGE(D7:E7)</f>
        <v>-6149</v>
      </c>
      <c r="J7" s="109">
        <f>AVERAGE(D7:E7)</f>
        <v>-6149</v>
      </c>
    </row>
    <row r="8" ht="14.25" spans="2:10">
      <c r="B8" s="126" t="s">
        <v>70</v>
      </c>
      <c r="C8" s="127">
        <f>'Balance Sheet'!C8</f>
        <v>258299</v>
      </c>
      <c r="D8" s="127">
        <f>'Balance Sheet'!D8</f>
        <v>326151</v>
      </c>
      <c r="E8" s="127">
        <f>'Balance Sheet'!E8</f>
        <v>300355</v>
      </c>
      <c r="F8" s="127">
        <f>SUM(F5:F7)</f>
        <v>322357.674234267</v>
      </c>
      <c r="G8" s="127">
        <f>SUM(G5:G7)</f>
        <v>346422.615177349</v>
      </c>
      <c r="H8" s="127">
        <f>SUM(H5:H7)</f>
        <v>372743.114968781</v>
      </c>
      <c r="I8" s="127">
        <f>SUM(I5:I7)</f>
        <v>401530.582634268</v>
      </c>
      <c r="J8" s="127">
        <f>SUM(J5:J7)</f>
        <v>433016.242145232</v>
      </c>
    </row>
    <row r="10" spans="2:11">
      <c r="B10" s="128" t="s">
        <v>71</v>
      </c>
      <c r="C10" s="128"/>
      <c r="D10" s="129">
        <f>D6/D5</f>
        <v>0.099996515665953</v>
      </c>
      <c r="E10" s="129">
        <f>E6/E5</f>
        <v>0.0874594896229047</v>
      </c>
      <c r="F10" s="129">
        <f>AVERAGE(D10:E10)</f>
        <v>0.0937280026444289</v>
      </c>
      <c r="G10" s="129">
        <f>F10</f>
        <v>0.0937280026444289</v>
      </c>
      <c r="H10" s="129">
        <f>F10</f>
        <v>0.0937280026444289</v>
      </c>
      <c r="I10" s="129">
        <f>F10</f>
        <v>0.0937280026444289</v>
      </c>
      <c r="J10" s="129">
        <f>F10</f>
        <v>0.0937280026444289</v>
      </c>
      <c r="K10" s="132"/>
    </row>
    <row r="11" spans="2:11">
      <c r="B11" s="130"/>
      <c r="C11" s="130"/>
      <c r="D11" s="131"/>
      <c r="E11" s="131"/>
      <c r="F11" s="131"/>
      <c r="G11" s="131"/>
      <c r="H11" s="131"/>
      <c r="I11" s="131"/>
      <c r="J11" s="131"/>
      <c r="K11" s="132"/>
    </row>
    <row r="14" spans="11:11">
      <c r="K14" s="112"/>
    </row>
  </sheetData>
  <mergeCells count="2">
    <mergeCell ref="B1:J1"/>
    <mergeCell ref="F3:J3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1"/>
  <sheetViews>
    <sheetView workbookViewId="0">
      <selection activeCell="H5" sqref="H5"/>
    </sheetView>
  </sheetViews>
  <sheetFormatPr defaultColWidth="9" defaultRowHeight="13.5" outlineLevelCol="7"/>
  <cols>
    <col min="2" max="2" width="25.5" customWidth="1"/>
    <col min="3" max="3" width="16" customWidth="1"/>
    <col min="4" max="8" width="14.75" customWidth="1"/>
  </cols>
  <sheetData>
    <row r="1" ht="15" spans="2:8">
      <c r="B1" s="117" t="s">
        <v>72</v>
      </c>
      <c r="C1" s="117"/>
      <c r="D1" s="117"/>
      <c r="E1" s="117"/>
      <c r="F1" s="117"/>
      <c r="G1" s="117"/>
      <c r="H1" s="117"/>
    </row>
    <row r="4" spans="4:8">
      <c r="D4" s="118" t="s">
        <v>11</v>
      </c>
      <c r="E4" s="119"/>
      <c r="F4" s="119"/>
      <c r="G4" s="119"/>
      <c r="H4" s="119"/>
    </row>
    <row r="5" spans="2:8">
      <c r="B5" s="120" t="s">
        <v>34</v>
      </c>
      <c r="C5" s="121">
        <v>45291</v>
      </c>
      <c r="D5" s="121">
        <v>45657</v>
      </c>
      <c r="E5" s="121">
        <v>46022</v>
      </c>
      <c r="F5" s="121">
        <v>46387</v>
      </c>
      <c r="G5" s="121">
        <v>46752</v>
      </c>
      <c r="H5" s="121">
        <v>47118</v>
      </c>
    </row>
    <row r="6" spans="2:8">
      <c r="B6" s="3" t="s">
        <v>73</v>
      </c>
      <c r="C6" s="53"/>
      <c r="D6" s="53">
        <f>C9</f>
        <v>7734097</v>
      </c>
      <c r="E6" s="53">
        <f>D9</f>
        <v>16443994.5760634</v>
      </c>
      <c r="F6" s="53">
        <f>E9</f>
        <v>28949412.9296657</v>
      </c>
      <c r="G6" s="53">
        <f>F9</f>
        <v>46906707.2756632</v>
      </c>
      <c r="H6" s="53">
        <f>G9</f>
        <v>72695038.1720075</v>
      </c>
    </row>
    <row r="7" spans="2:8">
      <c r="B7" s="3" t="s">
        <v>74</v>
      </c>
      <c r="C7" s="53"/>
      <c r="D7" s="53">
        <f>'P&amp;L STATEMENT '!F15</f>
        <v>6221355.41147389</v>
      </c>
      <c r="E7" s="53">
        <f>'P&amp;L STATEMENT '!G15</f>
        <v>8932441.68114443</v>
      </c>
      <c r="F7" s="53">
        <f>'P&amp;L STATEMENT '!H15</f>
        <v>12826638.8185697</v>
      </c>
      <c r="G7" s="53">
        <f>'P&amp;L STATEMENT '!I15</f>
        <v>18420236.3545316</v>
      </c>
      <c r="H7" s="53">
        <f>'P&amp;L STATEMENT '!J15</f>
        <v>26454820.4372524</v>
      </c>
    </row>
    <row r="8" spans="2:8">
      <c r="B8" s="3" t="s">
        <v>75</v>
      </c>
      <c r="C8" s="53"/>
      <c r="D8" s="109">
        <f>D7*D11</f>
        <v>2488542.16458956</v>
      </c>
      <c r="E8" s="109">
        <f t="shared" ref="E8:H8" si="0">E7*E11</f>
        <v>3572976.67245777</v>
      </c>
      <c r="F8" s="109">
        <f t="shared" si="0"/>
        <v>5130655.52742787</v>
      </c>
      <c r="G8" s="109">
        <f t="shared" si="0"/>
        <v>7368094.54181266</v>
      </c>
      <c r="H8" s="109">
        <f t="shared" si="0"/>
        <v>10581928.174901</v>
      </c>
    </row>
    <row r="9" ht="14.25" spans="2:8">
      <c r="B9" s="122" t="s">
        <v>76</v>
      </c>
      <c r="C9" s="123">
        <f>'Balance Sheet'!E17</f>
        <v>7734097</v>
      </c>
      <c r="D9" s="123">
        <f>SUM(D6:D8)</f>
        <v>16443994.5760634</v>
      </c>
      <c r="E9" s="123">
        <f>SUM(E6:E8)</f>
        <v>28949412.9296657</v>
      </c>
      <c r="F9" s="123">
        <f>SUM(F6:F8)</f>
        <v>46906707.2756632</v>
      </c>
      <c r="G9" s="123">
        <f>SUM(G6:G8)</f>
        <v>72695038.1720075</v>
      </c>
      <c r="H9" s="123">
        <f>SUM(H6:H8)</f>
        <v>109731786.784161</v>
      </c>
    </row>
    <row r="11" spans="4:8">
      <c r="D11">
        <v>0.4</v>
      </c>
      <c r="E11">
        <v>0.4</v>
      </c>
      <c r="F11">
        <v>0.4</v>
      </c>
      <c r="G11">
        <v>0.4</v>
      </c>
      <c r="H11">
        <v>0.4</v>
      </c>
    </row>
  </sheetData>
  <mergeCells count="2">
    <mergeCell ref="B1:H1"/>
    <mergeCell ref="D4:H4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20"/>
  <sheetViews>
    <sheetView workbookViewId="0">
      <selection activeCell="G5" sqref="G5"/>
    </sheetView>
  </sheetViews>
  <sheetFormatPr defaultColWidth="9" defaultRowHeight="13.5"/>
  <cols>
    <col min="2" max="2" width="27" customWidth="1"/>
    <col min="3" max="3" width="15.5" customWidth="1"/>
    <col min="4" max="4" width="14.125" customWidth="1"/>
    <col min="5" max="5" width="14.375" customWidth="1"/>
    <col min="6" max="6" width="14.625" customWidth="1"/>
    <col min="7" max="7" width="14.375" customWidth="1"/>
  </cols>
  <sheetData>
    <row r="1" ht="32.25" customHeight="1" spans="2:10">
      <c r="B1" s="51" t="s">
        <v>10</v>
      </c>
      <c r="C1" s="51"/>
      <c r="D1" s="51"/>
      <c r="E1" s="51"/>
      <c r="F1" s="51"/>
      <c r="G1" s="51"/>
      <c r="J1" s="116"/>
    </row>
    <row r="4" spans="3:7">
      <c r="C4" s="105" t="s">
        <v>66</v>
      </c>
      <c r="D4" s="106"/>
      <c r="E4" s="106"/>
      <c r="F4" s="106"/>
      <c r="G4" s="106"/>
    </row>
    <row r="5" spans="2:8">
      <c r="B5" s="107" t="s">
        <v>53</v>
      </c>
      <c r="C5" s="107">
        <v>2024</v>
      </c>
      <c r="D5" s="107">
        <v>2025</v>
      </c>
      <c r="E5" s="107">
        <v>2026</v>
      </c>
      <c r="F5" s="107">
        <v>2027</v>
      </c>
      <c r="G5" s="107">
        <v>2028</v>
      </c>
      <c r="H5" s="108"/>
    </row>
    <row r="6" spans="2:7">
      <c r="B6" s="3" t="s">
        <v>32</v>
      </c>
      <c r="C6" s="109">
        <f>'P&amp;L STATEMENT '!F29</f>
        <v>8723250.73629234</v>
      </c>
      <c r="D6" s="109">
        <f>'P&amp;L STATEMENT '!G29</f>
        <v>12540046.2822354</v>
      </c>
      <c r="E6" s="109">
        <f>'P&amp;L STATEMENT '!H29</f>
        <v>18023087.1602884</v>
      </c>
      <c r="F6" s="109">
        <f>'P&amp;L STATEMENT '!I29</f>
        <v>25899540.6646561</v>
      </c>
      <c r="G6" s="109">
        <f>'P&amp;L STATEMENT '!J29</f>
        <v>37213894.982552</v>
      </c>
    </row>
    <row r="7" spans="2:7">
      <c r="B7" s="3" t="s">
        <v>77</v>
      </c>
      <c r="C7" s="109">
        <f>'P&amp;L STATEMENT '!F12</f>
        <v>11070</v>
      </c>
      <c r="D7" s="109">
        <f>'P&amp;L STATEMENT '!G12</f>
        <v>10643.5530813068</v>
      </c>
      <c r="E7" s="109">
        <f>'P&amp;L STATEMENT '!H12</f>
        <v>10131.8167788748</v>
      </c>
      <c r="F7" s="109">
        <f>'P&amp;L STATEMENT '!I12</f>
        <v>9517.73321595657</v>
      </c>
      <c r="G7" s="109">
        <f>'P&amp;L STATEMENT '!J12</f>
        <v>8780.83294045463</v>
      </c>
    </row>
    <row r="8" spans="2:7">
      <c r="B8" s="3" t="s">
        <v>78</v>
      </c>
      <c r="C8" s="109">
        <f>'P&amp;L STATEMENT '!F14</f>
        <v>-2541116.99905272</v>
      </c>
      <c r="D8" s="109">
        <f>'P&amp;L STATEMENT '!G14</f>
        <v>-3648462.09511533</v>
      </c>
      <c r="E8" s="109">
        <f>'P&amp;L STATEMENT '!H14</f>
        <v>-5239049.65828902</v>
      </c>
      <c r="F8" s="109">
        <f>'P&amp;L STATEMENT '!I14</f>
        <v>-7523758.51100588</v>
      </c>
      <c r="G8" s="109">
        <f>'P&amp;L STATEMENT '!J14</f>
        <v>-10805490.037751</v>
      </c>
    </row>
    <row r="9" spans="2:7">
      <c r="B9" s="3" t="s">
        <v>79</v>
      </c>
      <c r="C9" s="109">
        <f>-('Balance Sheet'!F6-'Balance Sheet'!E6)</f>
        <v>-13491996.2581608</v>
      </c>
      <c r="D9" s="109">
        <f>-('Balance Sheet'!G6-'Balance Sheet'!F6)</f>
        <v>17344123.4912362</v>
      </c>
      <c r="E9" s="109">
        <f>-('Balance Sheet'!H6-'Balance Sheet'!G6)</f>
        <v>-2839269.76090117</v>
      </c>
      <c r="F9" s="109">
        <f>-('Balance Sheet'!I6-'Balance Sheet'!H6)</f>
        <v>-4078244.61316043</v>
      </c>
      <c r="G9" s="109">
        <f>-('Balance Sheet'!J6-'Balance Sheet'!I6)</f>
        <v>-5857872.10282307</v>
      </c>
    </row>
    <row r="10" spans="2:7">
      <c r="B10" s="3" t="s">
        <v>80</v>
      </c>
      <c r="C10" s="109">
        <f>-('Balance Sheet'!F7-'Balance Sheet'!E7)</f>
        <v>-338456.57786582</v>
      </c>
      <c r="D10" s="109">
        <f>-('Balance Sheet'!G7-'Balance Sheet'!F7)</f>
        <v>-2296124.86201394</v>
      </c>
      <c r="E10" s="109">
        <f>-('Balance Sheet'!H7-'Balance Sheet'!G7)</f>
        <v>-3298087.05696212</v>
      </c>
      <c r="F10" s="109">
        <f>-('Balance Sheet'!I7-'Balance Sheet'!H7)</f>
        <v>-4737276.4500971</v>
      </c>
      <c r="G10" s="109">
        <f>-('Balance Sheet'!J7-'Balance Sheet'!I7)</f>
        <v>-6804486.29070324</v>
      </c>
    </row>
    <row r="11" spans="2:7">
      <c r="B11" s="3" t="s">
        <v>81</v>
      </c>
      <c r="C11" s="109">
        <f>-('Balance Sheet'!F10-'Balance Sheet'!E10)</f>
        <v>2768013.5904076</v>
      </c>
      <c r="D11" s="109">
        <f>-('Balance Sheet'!G10-'Balance Sheet'!F10)</f>
        <v>-8523221.20275171</v>
      </c>
      <c r="E11" s="109">
        <f>-('Balance Sheet'!H10-'Balance Sheet'!G10)</f>
        <v>-12242507.3642401</v>
      </c>
      <c r="F11" s="109">
        <f>-('Balance Sheet'!I10-'Balance Sheet'!H10)</f>
        <v>-17584781.9736376</v>
      </c>
      <c r="G11" s="109">
        <f>-('Balance Sheet'!J10-'Balance Sheet'!I10)</f>
        <v>-25258270.0471639</v>
      </c>
    </row>
    <row r="12" spans="2:7">
      <c r="B12" s="3" t="s">
        <v>82</v>
      </c>
      <c r="C12" s="109">
        <f>'Balance Sheet'!F13-'Balance Sheet'!E13</f>
        <v>2650741.55905307</v>
      </c>
      <c r="D12" s="109">
        <f>'Balance Sheet'!G13-'Balance Sheet'!F13</f>
        <v>9885203.95985276</v>
      </c>
      <c r="E12" s="109">
        <f>'Balance Sheet'!H13-'Balance Sheet'!G13</f>
        <v>14198819.8354446</v>
      </c>
      <c r="F12" s="109">
        <f>'Balance Sheet'!I13-'Balance Sheet'!H13</f>
        <v>20394772.3828674</v>
      </c>
      <c r="G12" s="109">
        <f>'Balance Sheet'!J13-'Balance Sheet'!I13</f>
        <v>29294458.6500519</v>
      </c>
    </row>
    <row r="13" spans="2:7">
      <c r="B13" s="3" t="s">
        <v>83</v>
      </c>
      <c r="C13" s="109">
        <f>'Balance Sheet'!F16-'Balance Sheet'!E16</f>
        <v>6587480.48997885</v>
      </c>
      <c r="D13" s="109">
        <f>'Balance Sheet'!G16-'Balance Sheet'!F16</f>
        <v>7173108.27225015</v>
      </c>
      <c r="E13" s="109">
        <f>'Balance Sheet'!H16-'Balance Sheet'!G16</f>
        <v>10303244.367184</v>
      </c>
      <c r="F13" s="109">
        <f>'Balance Sheet'!I16-'Balance Sheet'!H16</f>
        <v>14799280.9338437</v>
      </c>
      <c r="G13" s="109">
        <f>'Balance Sheet'!J16-'Balance Sheet'!I16</f>
        <v>21257257.2631984</v>
      </c>
    </row>
    <row r="14" ht="14.25" spans="2:7">
      <c r="B14" s="110" t="s">
        <v>84</v>
      </c>
      <c r="C14" s="111">
        <f>-'FIxed Asset Roll Forward'!F7</f>
        <v>6149</v>
      </c>
      <c r="D14" s="111">
        <f>-'FIxed Asset Roll Forward'!G7</f>
        <v>6149</v>
      </c>
      <c r="E14" s="111">
        <f>-'FIxed Asset Roll Forward'!H7</f>
        <v>6149</v>
      </c>
      <c r="F14" s="111">
        <f>-'FIxed Asset Roll Forward'!I7</f>
        <v>6149</v>
      </c>
      <c r="G14" s="111">
        <f>-'FIxed Asset Roll Forward'!J7</f>
        <v>6149</v>
      </c>
    </row>
    <row r="15" spans="2:7">
      <c r="B15" s="112" t="s">
        <v>85</v>
      </c>
      <c r="C15" s="113">
        <f>SUM(C6:C14)</f>
        <v>4375135.54065256</v>
      </c>
      <c r="D15" s="113">
        <f>SUM(D6:D14)</f>
        <v>32491466.3987748</v>
      </c>
      <c r="E15" s="113">
        <f>SUM(E6:E14)</f>
        <v>18922518.3393034</v>
      </c>
      <c r="F15" s="113">
        <f>SUM(F6:F14)</f>
        <v>27185199.166682</v>
      </c>
      <c r="G15" s="113">
        <f>SUM(G6:G14)</f>
        <v>39054422.2503014</v>
      </c>
    </row>
    <row r="16" spans="2:7">
      <c r="B16" s="3" t="s">
        <v>86</v>
      </c>
      <c r="C16" s="109">
        <f>'Equity Schedule'!D8</f>
        <v>2488542.16458956</v>
      </c>
      <c r="D16" s="109">
        <f>'Equity Schedule'!E8</f>
        <v>3572976.67245777</v>
      </c>
      <c r="E16" s="109">
        <f>'Equity Schedule'!F8</f>
        <v>5130655.52742787</v>
      </c>
      <c r="F16" s="109">
        <f>'Equity Schedule'!G8</f>
        <v>7368094.54181266</v>
      </c>
      <c r="G16" s="109">
        <f>'Equity Schedule'!H8</f>
        <v>10581928.174901</v>
      </c>
    </row>
    <row r="17" spans="2:7">
      <c r="B17" s="3" t="s">
        <v>87</v>
      </c>
      <c r="C17" s="109">
        <f>'Balance Sheet'!F15-'Balance Sheet'!E15</f>
        <v>-2132.23459346625</v>
      </c>
      <c r="D17" s="109">
        <f>'Balance Sheet'!G15-'Balance Sheet'!F15</f>
        <v>-2558.68151215951</v>
      </c>
      <c r="E17" s="109">
        <f>'Balance Sheet'!H15-'Balance Sheet'!G15</f>
        <v>-3070.4178145914</v>
      </c>
      <c r="F17" s="109">
        <f>'Balance Sheet'!I15-'Balance Sheet'!H15</f>
        <v>-3684.50137750969</v>
      </c>
      <c r="G17" s="109">
        <f>'Balance Sheet'!J15-'Balance Sheet'!I15</f>
        <v>-4421.40165301162</v>
      </c>
    </row>
    <row r="18" spans="2:7">
      <c r="B18" s="3" t="s">
        <v>88</v>
      </c>
      <c r="C18" s="53">
        <f>'Balance Sheet'!F14-'Balance Sheet'!E14</f>
        <v>0</v>
      </c>
      <c r="D18" s="53">
        <f>'Balance Sheet'!G14-'Balance Sheet'!F14</f>
        <v>0</v>
      </c>
      <c r="E18" s="53">
        <f>'Balance Sheet'!H14-'Balance Sheet'!G14</f>
        <v>0</v>
      </c>
      <c r="F18" s="53">
        <f>'Balance Sheet'!I14-'Balance Sheet'!H14</f>
        <v>0</v>
      </c>
      <c r="G18" s="53">
        <f>'Balance Sheet'!J14-'Balance Sheet'!I14</f>
        <v>0</v>
      </c>
    </row>
    <row r="19" spans="2:7">
      <c r="B19" s="3" t="s">
        <v>89</v>
      </c>
      <c r="C19" s="53">
        <f>'Balance Sheet'!F17-'Balance Sheet'!E17-'P&amp;L STATEMENT '!F15-'Equity Schedule'!D8</f>
        <v>0</v>
      </c>
      <c r="D19" s="53">
        <f>'Balance Sheet'!G17-'Balance Sheet'!F17-'P&amp;L STATEMENT '!G15-'Equity Schedule'!E8</f>
        <v>0</v>
      </c>
      <c r="E19" s="53">
        <f>'Balance Sheet'!H17-'Balance Sheet'!G17-'P&amp;L STATEMENT '!H15-'Equity Schedule'!F8</f>
        <v>0</v>
      </c>
      <c r="F19" s="53">
        <f>'Balance Sheet'!I17-'Balance Sheet'!H17-'P&amp;L STATEMENT '!I15-'Equity Schedule'!G8</f>
        <v>0</v>
      </c>
      <c r="G19" s="53">
        <f>'Balance Sheet'!J17-'Balance Sheet'!I17-'P&amp;L STATEMENT '!J15-'Equity Schedule'!H8</f>
        <v>0</v>
      </c>
    </row>
    <row r="20" ht="14.25" spans="2:7">
      <c r="B20" s="114" t="s">
        <v>90</v>
      </c>
      <c r="C20" s="115">
        <f>SUM(C15:C19)</f>
        <v>6861545.47064865</v>
      </c>
      <c r="D20" s="115">
        <f t="shared" ref="D20:G20" si="0">SUM(D15:D19)</f>
        <v>36061884.3897204</v>
      </c>
      <c r="E20" s="115">
        <f t="shared" si="0"/>
        <v>24050103.4489167</v>
      </c>
      <c r="F20" s="115">
        <f t="shared" si="0"/>
        <v>34549609.2071172</v>
      </c>
      <c r="G20" s="115">
        <f t="shared" si="0"/>
        <v>49631929.0235494</v>
      </c>
    </row>
  </sheetData>
  <mergeCells count="2">
    <mergeCell ref="B1:G1"/>
    <mergeCell ref="C4:G4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5"/>
  <sheetViews>
    <sheetView workbookViewId="0">
      <selection activeCell="A1" sqref="A1:K1"/>
    </sheetView>
  </sheetViews>
  <sheetFormatPr defaultColWidth="9" defaultRowHeight="13.5"/>
  <cols>
    <col min="1" max="1" width="23.5" customWidth="1"/>
    <col min="2" max="2" width="15.5" customWidth="1"/>
    <col min="3" max="3" width="14.375" style="67" customWidth="1"/>
    <col min="4" max="4" width="15.375" style="68" customWidth="1"/>
    <col min="7" max="7" width="15.375" customWidth="1"/>
    <col min="8" max="8" width="15.875" customWidth="1"/>
    <col min="9" max="9" width="15.375" customWidth="1"/>
  </cols>
  <sheetData>
    <row r="1" ht="43.5" customHeight="1" spans="1:11">
      <c r="A1" s="51" t="s">
        <v>91</v>
      </c>
      <c r="B1" s="51"/>
      <c r="C1" s="51"/>
      <c r="D1" s="51"/>
      <c r="E1" s="51"/>
      <c r="F1" s="51"/>
      <c r="G1" s="51"/>
      <c r="H1" s="51"/>
      <c r="I1" s="51"/>
      <c r="J1" s="51"/>
      <c r="K1" s="51"/>
    </row>
    <row r="2" ht="15" spans="2:9">
      <c r="B2" s="69"/>
      <c r="C2" s="69"/>
      <c r="D2" s="69"/>
      <c r="E2" s="69"/>
      <c r="F2" s="69"/>
      <c r="G2" s="69"/>
      <c r="H2" s="69"/>
      <c r="I2" s="69"/>
    </row>
    <row r="3" ht="15" customHeight="1" spans="2:9">
      <c r="B3" s="70" t="s">
        <v>92</v>
      </c>
      <c r="C3" s="71"/>
      <c r="D3" s="72"/>
      <c r="G3" s="73" t="s">
        <v>93</v>
      </c>
      <c r="H3" s="74"/>
      <c r="I3" s="86"/>
    </row>
    <row r="4" spans="2:9">
      <c r="B4" s="70"/>
      <c r="C4" s="71"/>
      <c r="D4" s="72"/>
      <c r="G4" s="75"/>
      <c r="H4" s="76"/>
      <c r="I4" s="87"/>
    </row>
    <row r="5" ht="14.25" spans="2:9">
      <c r="B5" s="77" t="s">
        <v>94</v>
      </c>
      <c r="C5" s="78" t="s">
        <v>95</v>
      </c>
      <c r="D5" s="78" t="s">
        <v>96</v>
      </c>
      <c r="G5" s="79" t="s">
        <v>94</v>
      </c>
      <c r="H5" s="79" t="s">
        <v>95</v>
      </c>
      <c r="I5" s="88" t="s">
        <v>96</v>
      </c>
    </row>
    <row r="6" spans="2:9">
      <c r="B6" s="80">
        <v>45110</v>
      </c>
      <c r="C6" s="67">
        <v>61.03</v>
      </c>
      <c r="D6" s="81"/>
      <c r="G6" s="82">
        <v>45110</v>
      </c>
      <c r="H6" s="83">
        <v>43903.3</v>
      </c>
      <c r="I6" s="89"/>
    </row>
    <row r="7" spans="2:9">
      <c r="B7" s="80">
        <v>45111</v>
      </c>
      <c r="C7" s="67">
        <v>59.21</v>
      </c>
      <c r="D7" s="81">
        <f>(C7-C6)/C6</f>
        <v>-0.0298213993118139</v>
      </c>
      <c r="G7" s="82">
        <v>45111</v>
      </c>
      <c r="H7" s="83">
        <v>43502.9</v>
      </c>
      <c r="I7" s="90">
        <v>-0.0091</v>
      </c>
    </row>
    <row r="8" spans="2:9">
      <c r="B8" s="80">
        <v>45112</v>
      </c>
      <c r="C8" s="67">
        <v>58.37</v>
      </c>
      <c r="D8" s="81">
        <f t="shared" ref="D8:D71" si="0">(C8-C7)/C7</f>
        <v>-0.0141867927714914</v>
      </c>
      <c r="G8" s="82">
        <v>45112</v>
      </c>
      <c r="H8" s="83">
        <v>43553.8</v>
      </c>
      <c r="I8" s="90">
        <v>0.0012</v>
      </c>
    </row>
    <row r="9" spans="2:9">
      <c r="B9" s="80">
        <v>45113</v>
      </c>
      <c r="C9" s="67">
        <v>60.4</v>
      </c>
      <c r="D9" s="81">
        <f t="shared" si="0"/>
        <v>0.0347781394551996</v>
      </c>
      <c r="G9" s="82">
        <v>45113</v>
      </c>
      <c r="H9" s="83">
        <v>44211.7</v>
      </c>
      <c r="I9" s="90">
        <v>0.0151</v>
      </c>
    </row>
    <row r="10" spans="2:9">
      <c r="B10" s="80">
        <v>45114</v>
      </c>
      <c r="C10" s="67">
        <v>60.28</v>
      </c>
      <c r="D10" s="81">
        <f t="shared" si="0"/>
        <v>-0.00198675496688737</v>
      </c>
      <c r="G10" s="82">
        <v>45114</v>
      </c>
      <c r="H10" s="83">
        <v>44284.9</v>
      </c>
      <c r="I10" s="90">
        <v>0.0017</v>
      </c>
    </row>
    <row r="11" spans="2:9">
      <c r="B11" s="80">
        <v>45117</v>
      </c>
      <c r="C11" s="67">
        <v>62.18</v>
      </c>
      <c r="D11" s="81">
        <f t="shared" si="0"/>
        <v>0.0315195753151957</v>
      </c>
      <c r="G11" s="82">
        <v>45117</v>
      </c>
      <c r="H11" s="83">
        <v>44561.8</v>
      </c>
      <c r="I11" s="90">
        <v>0.0063</v>
      </c>
    </row>
    <row r="12" spans="2:9">
      <c r="B12" s="80">
        <v>45118</v>
      </c>
      <c r="C12" s="67">
        <v>62.45</v>
      </c>
      <c r="D12" s="81">
        <f t="shared" si="0"/>
        <v>0.00434223222901259</v>
      </c>
      <c r="G12" s="82">
        <v>45118</v>
      </c>
      <c r="H12" s="83">
        <v>45179.2</v>
      </c>
      <c r="I12" s="90">
        <v>0.0139</v>
      </c>
    </row>
    <row r="13" spans="2:9">
      <c r="B13" s="80">
        <v>45119</v>
      </c>
      <c r="C13" s="67">
        <v>63.13</v>
      </c>
      <c r="D13" s="81">
        <f t="shared" si="0"/>
        <v>0.010888710968775</v>
      </c>
      <c r="G13" s="82">
        <v>45119</v>
      </c>
      <c r="H13" s="83">
        <v>45581.1</v>
      </c>
      <c r="I13" s="90">
        <v>0.0089</v>
      </c>
    </row>
    <row r="14" spans="2:9">
      <c r="B14" s="80">
        <v>45120</v>
      </c>
      <c r="C14" s="67">
        <v>61.15</v>
      </c>
      <c r="D14" s="81">
        <f t="shared" si="0"/>
        <v>-0.0313638523681293</v>
      </c>
      <c r="G14" s="82">
        <v>45120</v>
      </c>
      <c r="H14" s="83">
        <v>45296.5</v>
      </c>
      <c r="I14" s="90">
        <v>-0.0062</v>
      </c>
    </row>
    <row r="15" spans="2:9">
      <c r="B15" s="80">
        <v>45121</v>
      </c>
      <c r="C15" s="67">
        <v>60.43</v>
      </c>
      <c r="D15" s="81">
        <f t="shared" si="0"/>
        <v>-0.0117743254292723</v>
      </c>
      <c r="G15" s="82">
        <v>45121</v>
      </c>
      <c r="H15" s="83">
        <v>45071.9</v>
      </c>
      <c r="I15" s="90">
        <v>-0.005</v>
      </c>
    </row>
    <row r="16" spans="2:9">
      <c r="B16" s="80">
        <v>45124</v>
      </c>
      <c r="C16" s="67">
        <v>60.42</v>
      </c>
      <c r="D16" s="81">
        <f t="shared" si="0"/>
        <v>-0.000165480721495913</v>
      </c>
      <c r="G16" s="82">
        <v>45124</v>
      </c>
      <c r="H16" s="83">
        <v>45047.4</v>
      </c>
      <c r="I16" s="90">
        <v>-0.0005</v>
      </c>
    </row>
    <row r="17" spans="2:9">
      <c r="B17" s="80">
        <v>45125</v>
      </c>
      <c r="C17" s="67">
        <v>60.66</v>
      </c>
      <c r="D17" s="81">
        <f t="shared" si="0"/>
        <v>0.00397219463753715</v>
      </c>
      <c r="G17" s="82">
        <v>45125</v>
      </c>
      <c r="H17" s="83">
        <v>45019.6</v>
      </c>
      <c r="I17" s="90">
        <v>-0.0006</v>
      </c>
    </row>
    <row r="18" spans="2:17">
      <c r="B18" s="80">
        <v>45126</v>
      </c>
      <c r="C18" s="67">
        <v>60.98</v>
      </c>
      <c r="D18" s="81">
        <f t="shared" si="0"/>
        <v>0.00527530497856908</v>
      </c>
      <c r="G18" s="82">
        <v>45126</v>
      </c>
      <c r="H18" s="83">
        <v>45086.3</v>
      </c>
      <c r="I18" s="90">
        <v>0.0015</v>
      </c>
      <c r="Q18" s="91" t="s">
        <v>97</v>
      </c>
    </row>
    <row r="19" spans="2:9">
      <c r="B19" s="80">
        <v>45127</v>
      </c>
      <c r="C19" s="67">
        <v>61.58</v>
      </c>
      <c r="D19" s="81">
        <f t="shared" si="0"/>
        <v>0.00983929157100691</v>
      </c>
      <c r="G19" s="82">
        <v>45127</v>
      </c>
      <c r="H19" s="83">
        <v>45426.6</v>
      </c>
      <c r="I19" s="90">
        <v>0.0075</v>
      </c>
    </row>
    <row r="20" spans="2:9">
      <c r="B20" s="80">
        <v>45128</v>
      </c>
      <c r="C20" s="67">
        <v>61.69</v>
      </c>
      <c r="D20" s="81">
        <f t="shared" si="0"/>
        <v>0.00178629425138031</v>
      </c>
      <c r="G20" s="82">
        <v>45128</v>
      </c>
      <c r="H20" s="83">
        <v>45888.3</v>
      </c>
      <c r="I20" s="90">
        <v>0.0102</v>
      </c>
    </row>
    <row r="21" spans="2:9">
      <c r="B21" s="80">
        <v>45131</v>
      </c>
      <c r="C21" s="67">
        <v>61.15</v>
      </c>
      <c r="D21" s="81">
        <f t="shared" si="0"/>
        <v>-0.00875344464256766</v>
      </c>
      <c r="G21" s="82">
        <v>45131</v>
      </c>
      <c r="H21" s="83">
        <v>46065.6</v>
      </c>
      <c r="I21" s="90">
        <v>0.0039</v>
      </c>
    </row>
    <row r="22" spans="2:9">
      <c r="B22" s="80">
        <v>45132</v>
      </c>
      <c r="C22" s="67">
        <v>62.01</v>
      </c>
      <c r="D22" s="81">
        <f t="shared" si="0"/>
        <v>0.0140637775960752</v>
      </c>
      <c r="G22" s="82">
        <v>45132</v>
      </c>
      <c r="H22" s="83">
        <v>46399.2</v>
      </c>
      <c r="I22" s="90">
        <v>0.0072</v>
      </c>
    </row>
    <row r="23" spans="2:9">
      <c r="B23" s="80">
        <v>45133</v>
      </c>
      <c r="C23" s="67">
        <v>66.66</v>
      </c>
      <c r="D23" s="81">
        <f t="shared" si="0"/>
        <v>0.0749879051765844</v>
      </c>
      <c r="G23" s="82">
        <v>45133</v>
      </c>
      <c r="H23" s="83">
        <v>46724.6</v>
      </c>
      <c r="I23" s="90">
        <v>0.007</v>
      </c>
    </row>
    <row r="24" spans="2:9">
      <c r="B24" s="80">
        <v>45134</v>
      </c>
      <c r="C24" s="67">
        <v>66.6</v>
      </c>
      <c r="D24" s="81">
        <f t="shared" si="0"/>
        <v>-0.000900090009000934</v>
      </c>
      <c r="G24" s="82">
        <v>45134</v>
      </c>
      <c r="H24" s="83">
        <v>47139.1</v>
      </c>
      <c r="I24" s="90">
        <v>0.0089</v>
      </c>
    </row>
    <row r="25" spans="1:9">
      <c r="A25" s="32"/>
      <c r="B25" s="84">
        <v>45138</v>
      </c>
      <c r="C25" s="67">
        <v>67.78</v>
      </c>
      <c r="D25" s="81">
        <f t="shared" si="0"/>
        <v>0.0177177177177178</v>
      </c>
      <c r="G25" s="82">
        <v>45138</v>
      </c>
      <c r="H25" s="83">
        <v>48034.6</v>
      </c>
      <c r="I25" s="90">
        <v>0.019</v>
      </c>
    </row>
    <row r="26" spans="1:9">
      <c r="A26" s="32"/>
      <c r="B26" s="85">
        <v>45139</v>
      </c>
      <c r="C26" s="67">
        <v>69.51</v>
      </c>
      <c r="D26" s="81">
        <f t="shared" si="0"/>
        <v>0.0255237533195634</v>
      </c>
      <c r="G26" s="82">
        <v>45139</v>
      </c>
      <c r="H26" s="83">
        <v>48230.5</v>
      </c>
      <c r="I26" s="90">
        <v>0.0041</v>
      </c>
    </row>
    <row r="27" spans="1:9">
      <c r="A27" s="32"/>
      <c r="B27" s="85">
        <v>45140</v>
      </c>
      <c r="C27" s="67">
        <v>69.09</v>
      </c>
      <c r="D27" s="81">
        <f t="shared" si="0"/>
        <v>-0.00604229607250758</v>
      </c>
      <c r="G27" s="82">
        <v>45140</v>
      </c>
      <c r="H27" s="83">
        <v>48764.6</v>
      </c>
      <c r="I27" s="90">
        <v>0.0111</v>
      </c>
    </row>
    <row r="28" spans="1:9">
      <c r="A28" s="32"/>
      <c r="B28" s="85">
        <v>45141</v>
      </c>
      <c r="C28" s="67">
        <v>68.31</v>
      </c>
      <c r="D28" s="81">
        <f t="shared" si="0"/>
        <v>-0.0112896222318715</v>
      </c>
      <c r="G28" s="82">
        <v>45141</v>
      </c>
      <c r="H28" s="83">
        <v>48611.2</v>
      </c>
      <c r="I28" s="90">
        <v>-0.0031</v>
      </c>
    </row>
    <row r="29" spans="1:9">
      <c r="A29" s="32"/>
      <c r="B29" s="85">
        <v>45142</v>
      </c>
      <c r="C29" s="67">
        <v>67.73</v>
      </c>
      <c r="D29" s="81">
        <f t="shared" si="0"/>
        <v>-0.00849070414287803</v>
      </c>
      <c r="G29" s="82">
        <v>45142</v>
      </c>
      <c r="H29" s="83">
        <v>48585.7</v>
      </c>
      <c r="I29" s="90">
        <v>-0.0005</v>
      </c>
    </row>
    <row r="30" spans="1:9">
      <c r="A30" s="32"/>
      <c r="B30" s="85">
        <v>45145</v>
      </c>
      <c r="C30" s="67">
        <v>65.65</v>
      </c>
      <c r="D30" s="81">
        <f t="shared" si="0"/>
        <v>-0.0307101727447217</v>
      </c>
      <c r="G30" s="82">
        <v>45145</v>
      </c>
      <c r="H30" s="83">
        <v>48386.3</v>
      </c>
      <c r="I30" s="90">
        <v>-0.0041</v>
      </c>
    </row>
    <row r="31" spans="1:9">
      <c r="A31" s="32"/>
      <c r="B31" s="85">
        <v>45146</v>
      </c>
      <c r="C31" s="67">
        <v>63.88</v>
      </c>
      <c r="D31" s="81">
        <f t="shared" si="0"/>
        <v>-0.026961157654227</v>
      </c>
      <c r="G31" s="82">
        <v>45146</v>
      </c>
      <c r="H31" s="83">
        <v>47429.8</v>
      </c>
      <c r="I31" s="90">
        <v>-0.0198</v>
      </c>
    </row>
    <row r="32" spans="1:9">
      <c r="A32" s="32"/>
      <c r="B32" s="85">
        <v>45147</v>
      </c>
      <c r="C32" s="67">
        <v>67.42</v>
      </c>
      <c r="D32" s="81">
        <f t="shared" si="0"/>
        <v>0.0554164057608015</v>
      </c>
      <c r="G32" s="82">
        <v>45147</v>
      </c>
      <c r="H32" s="83">
        <v>48227.6</v>
      </c>
      <c r="I32" s="90">
        <v>0.0168</v>
      </c>
    </row>
    <row r="33" spans="1:9">
      <c r="A33" s="32"/>
      <c r="B33" s="85">
        <v>45148</v>
      </c>
      <c r="C33" s="67">
        <v>66.07</v>
      </c>
      <c r="D33" s="81">
        <f t="shared" si="0"/>
        <v>-0.0200237318303175</v>
      </c>
      <c r="G33" s="82">
        <v>45148</v>
      </c>
      <c r="H33" s="83">
        <v>47808.3</v>
      </c>
      <c r="I33" s="90">
        <v>-0.0087</v>
      </c>
    </row>
    <row r="34" spans="1:9">
      <c r="A34" s="32"/>
      <c r="B34" s="85">
        <v>45149</v>
      </c>
      <c r="C34" s="67">
        <v>68.71</v>
      </c>
      <c r="D34" s="81">
        <f t="shared" si="0"/>
        <v>0.0399576207053126</v>
      </c>
      <c r="G34" s="82">
        <v>45149</v>
      </c>
      <c r="H34" s="83">
        <v>48424.4</v>
      </c>
      <c r="I34" s="90">
        <v>0.0129</v>
      </c>
    </row>
    <row r="35" spans="1:9">
      <c r="A35" s="32"/>
      <c r="B35" s="85">
        <v>45153</v>
      </c>
      <c r="C35" s="67">
        <v>68.46</v>
      </c>
      <c r="D35" s="81">
        <f t="shared" si="0"/>
        <v>-0.00363848057051375</v>
      </c>
      <c r="G35" s="82">
        <v>45153</v>
      </c>
      <c r="H35" s="83">
        <v>48565.8</v>
      </c>
      <c r="I35" s="90">
        <v>0.0029</v>
      </c>
    </row>
    <row r="36" spans="1:9">
      <c r="A36" s="32"/>
      <c r="B36" s="85">
        <v>45154</v>
      </c>
      <c r="C36" s="67">
        <v>67.07</v>
      </c>
      <c r="D36" s="81">
        <f t="shared" si="0"/>
        <v>-0.0203038270522933</v>
      </c>
      <c r="G36" s="82">
        <v>45154</v>
      </c>
      <c r="H36" s="83">
        <v>48146.4</v>
      </c>
      <c r="I36" s="90">
        <v>-0.0086</v>
      </c>
    </row>
    <row r="37" spans="1:9">
      <c r="A37" s="32"/>
      <c r="B37" s="85">
        <v>45155</v>
      </c>
      <c r="C37" s="67">
        <v>68.25</v>
      </c>
      <c r="D37" s="81">
        <f t="shared" si="0"/>
        <v>0.0175935589682422</v>
      </c>
      <c r="G37" s="82">
        <v>45155</v>
      </c>
      <c r="H37" s="83">
        <v>48325.8</v>
      </c>
      <c r="I37" s="90">
        <v>0.0037</v>
      </c>
    </row>
    <row r="38" spans="1:9">
      <c r="A38" s="32"/>
      <c r="B38" s="85">
        <v>45156</v>
      </c>
      <c r="C38" s="67">
        <v>68.38</v>
      </c>
      <c r="D38" s="81">
        <f t="shared" si="0"/>
        <v>0.00190476190476184</v>
      </c>
      <c r="G38" s="82">
        <v>45156</v>
      </c>
      <c r="H38" s="83">
        <v>48218.5</v>
      </c>
      <c r="I38" s="90">
        <v>-0.0022</v>
      </c>
    </row>
    <row r="39" spans="1:9">
      <c r="A39" s="32"/>
      <c r="B39" s="85">
        <v>45159</v>
      </c>
      <c r="C39" s="67">
        <v>66.88</v>
      </c>
      <c r="D39" s="81">
        <f t="shared" si="0"/>
        <v>-0.0219362386662767</v>
      </c>
      <c r="G39" s="82">
        <v>45159</v>
      </c>
      <c r="H39" s="83">
        <v>47448</v>
      </c>
      <c r="I39" s="90">
        <v>-0.016</v>
      </c>
    </row>
    <row r="40" spans="1:9">
      <c r="A40" s="32"/>
      <c r="B40" s="85">
        <v>45160</v>
      </c>
      <c r="C40" s="67">
        <v>67.32</v>
      </c>
      <c r="D40" s="81">
        <f t="shared" si="0"/>
        <v>0.00657894736842102</v>
      </c>
      <c r="G40" s="82">
        <v>45160</v>
      </c>
      <c r="H40" s="83">
        <v>47417.9</v>
      </c>
      <c r="I40" s="90">
        <v>-0.0006</v>
      </c>
    </row>
    <row r="41" spans="1:9">
      <c r="A41" s="32"/>
      <c r="B41" s="85">
        <v>45161</v>
      </c>
      <c r="C41" s="67">
        <v>66.75</v>
      </c>
      <c r="D41" s="81">
        <f t="shared" si="0"/>
        <v>-0.00846702317290542</v>
      </c>
      <c r="G41" s="82">
        <v>45161</v>
      </c>
      <c r="H41" s="83">
        <v>47418.6</v>
      </c>
      <c r="I41" s="90">
        <v>0</v>
      </c>
    </row>
    <row r="42" spans="1:9">
      <c r="A42" s="32"/>
      <c r="B42" s="85">
        <v>45162</v>
      </c>
      <c r="C42" s="67">
        <v>68.35</v>
      </c>
      <c r="D42" s="81">
        <f t="shared" si="0"/>
        <v>0.0239700374531834</v>
      </c>
      <c r="G42" s="82">
        <v>45162</v>
      </c>
      <c r="H42" s="83">
        <v>47750.8</v>
      </c>
      <c r="I42" s="90">
        <v>0.007</v>
      </c>
    </row>
    <row r="43" spans="1:9">
      <c r="A43" s="32"/>
      <c r="B43" s="85">
        <v>45163</v>
      </c>
      <c r="C43" s="67">
        <v>67.5</v>
      </c>
      <c r="D43" s="81">
        <f t="shared" si="0"/>
        <v>-0.0124359912216532</v>
      </c>
      <c r="G43" s="82">
        <v>45163</v>
      </c>
      <c r="H43" s="83">
        <v>47671.2</v>
      </c>
      <c r="I43" s="90">
        <v>-0.0017</v>
      </c>
    </row>
    <row r="44" spans="1:9">
      <c r="A44" s="32"/>
      <c r="B44" s="85">
        <v>45166</v>
      </c>
      <c r="C44" s="67">
        <v>66.62</v>
      </c>
      <c r="D44" s="81">
        <f t="shared" si="0"/>
        <v>-0.013037037037037</v>
      </c>
      <c r="G44" s="82">
        <v>45166</v>
      </c>
      <c r="H44" s="83">
        <v>47478.6</v>
      </c>
      <c r="I44" s="90">
        <v>-0.004</v>
      </c>
    </row>
    <row r="45" spans="1:9">
      <c r="A45" s="32"/>
      <c r="B45" s="85">
        <v>45167</v>
      </c>
      <c r="C45" s="67">
        <v>64.94</v>
      </c>
      <c r="D45" s="81">
        <f t="shared" si="0"/>
        <v>-0.0252176523566498</v>
      </c>
      <c r="G45" s="82">
        <v>45167</v>
      </c>
      <c r="H45" s="83">
        <v>46770.4</v>
      </c>
      <c r="I45" s="90">
        <v>-0.0149</v>
      </c>
    </row>
    <row r="46" spans="1:9">
      <c r="A46" s="32"/>
      <c r="B46" s="85">
        <v>45168</v>
      </c>
      <c r="C46" s="67">
        <v>63</v>
      </c>
      <c r="D46" s="81">
        <f t="shared" si="0"/>
        <v>-0.0298737295965506</v>
      </c>
      <c r="G46" s="82">
        <v>45168</v>
      </c>
      <c r="H46" s="83">
        <v>46244.6</v>
      </c>
      <c r="I46" s="90">
        <v>-0.0112</v>
      </c>
    </row>
    <row r="47" spans="1:9">
      <c r="A47" s="32"/>
      <c r="B47" s="85">
        <v>45169</v>
      </c>
      <c r="C47" s="67">
        <v>58.28</v>
      </c>
      <c r="D47" s="81">
        <f t="shared" si="0"/>
        <v>-0.0749206349206349</v>
      </c>
      <c r="G47" s="82">
        <v>45169</v>
      </c>
      <c r="H47" s="83">
        <v>45002.4</v>
      </c>
      <c r="I47" s="90">
        <v>-0.0269</v>
      </c>
    </row>
    <row r="48" spans="1:9">
      <c r="A48" s="32"/>
      <c r="B48" s="85">
        <v>45170</v>
      </c>
      <c r="C48" s="67">
        <v>58.86</v>
      </c>
      <c r="D48" s="81">
        <f t="shared" si="0"/>
        <v>0.00995195607412488</v>
      </c>
      <c r="G48" s="82">
        <v>45170</v>
      </c>
      <c r="H48" s="83">
        <v>45312.7</v>
      </c>
      <c r="I48" s="90">
        <v>0.0069</v>
      </c>
    </row>
    <row r="49" spans="1:9">
      <c r="A49" s="32"/>
      <c r="B49" s="85">
        <v>45173</v>
      </c>
      <c r="C49" s="67">
        <v>59.89</v>
      </c>
      <c r="D49" s="81">
        <f t="shared" si="0"/>
        <v>0.0174991505266735</v>
      </c>
      <c r="G49" s="82">
        <v>45173</v>
      </c>
      <c r="H49" s="83">
        <v>45707.4</v>
      </c>
      <c r="I49" s="90">
        <v>0.0087</v>
      </c>
    </row>
    <row r="50" spans="1:9">
      <c r="A50" s="32"/>
      <c r="B50" s="85">
        <v>45174</v>
      </c>
      <c r="C50" s="67">
        <v>59.8</v>
      </c>
      <c r="D50" s="81">
        <f t="shared" si="0"/>
        <v>-0.00150275505092676</v>
      </c>
      <c r="G50" s="82">
        <v>45174</v>
      </c>
      <c r="H50" s="83">
        <v>45491.5</v>
      </c>
      <c r="I50" s="90">
        <v>-0.0047</v>
      </c>
    </row>
    <row r="51" spans="1:9">
      <c r="A51" s="32"/>
      <c r="B51" s="85">
        <v>45175</v>
      </c>
      <c r="C51" s="67">
        <v>57.92</v>
      </c>
      <c r="D51" s="81">
        <f t="shared" si="0"/>
        <v>-0.0314381270903009</v>
      </c>
      <c r="G51" s="82">
        <v>45175</v>
      </c>
      <c r="H51" s="83">
        <v>45807.6</v>
      </c>
      <c r="I51" s="90">
        <v>0.0069</v>
      </c>
    </row>
    <row r="52" spans="1:9">
      <c r="A52" s="32"/>
      <c r="B52" s="85">
        <v>45176</v>
      </c>
      <c r="C52" s="67">
        <v>58.18</v>
      </c>
      <c r="D52" s="81">
        <f t="shared" si="0"/>
        <v>0.00448895027624306</v>
      </c>
      <c r="G52" s="82">
        <v>45176</v>
      </c>
      <c r="H52" s="83">
        <v>45757.2</v>
      </c>
      <c r="I52" s="90">
        <v>-0.0011</v>
      </c>
    </row>
    <row r="53" spans="1:9">
      <c r="A53" s="32"/>
      <c r="B53" s="85">
        <v>45177</v>
      </c>
      <c r="C53" s="67">
        <v>59.47</v>
      </c>
      <c r="D53" s="81">
        <f t="shared" si="0"/>
        <v>0.0221725678927466</v>
      </c>
      <c r="G53" s="82">
        <v>45177</v>
      </c>
      <c r="H53" s="83">
        <v>46013.5</v>
      </c>
      <c r="I53" s="90">
        <v>0.0056</v>
      </c>
    </row>
    <row r="54" spans="1:9">
      <c r="A54" s="32"/>
      <c r="B54" s="85">
        <v>45180</v>
      </c>
      <c r="C54" s="67">
        <v>57.85</v>
      </c>
      <c r="D54" s="81">
        <f t="shared" si="0"/>
        <v>-0.027240625525475</v>
      </c>
      <c r="G54" s="82">
        <v>45180</v>
      </c>
      <c r="H54" s="83">
        <v>45865.7</v>
      </c>
      <c r="I54" s="90">
        <v>-0.0032</v>
      </c>
    </row>
    <row r="55" spans="1:9">
      <c r="A55" s="32"/>
      <c r="B55" s="85">
        <v>45181</v>
      </c>
      <c r="C55" s="67">
        <v>57.6</v>
      </c>
      <c r="D55" s="81">
        <f t="shared" si="0"/>
        <v>-0.00432152117545376</v>
      </c>
      <c r="G55" s="82">
        <v>45181</v>
      </c>
      <c r="H55" s="83">
        <v>45508.4</v>
      </c>
      <c r="I55" s="90">
        <v>-0.0078</v>
      </c>
    </row>
    <row r="56" spans="1:9">
      <c r="A56" s="32"/>
      <c r="B56" s="85">
        <v>45182</v>
      </c>
      <c r="C56" s="67">
        <v>57.86</v>
      </c>
      <c r="D56" s="81">
        <f t="shared" si="0"/>
        <v>0.00451388888888885</v>
      </c>
      <c r="G56" s="82">
        <v>45182</v>
      </c>
      <c r="H56" s="83">
        <v>45590.9</v>
      </c>
      <c r="I56" s="90">
        <v>0.0018</v>
      </c>
    </row>
    <row r="57" spans="1:9">
      <c r="A57" s="32"/>
      <c r="B57" s="85">
        <v>45183</v>
      </c>
      <c r="C57" s="67">
        <v>58.61</v>
      </c>
      <c r="D57" s="81">
        <f t="shared" si="0"/>
        <v>0.0129623228482544</v>
      </c>
      <c r="G57" s="82">
        <v>45183</v>
      </c>
      <c r="H57" s="83">
        <v>45650.1</v>
      </c>
      <c r="I57" s="90">
        <v>0.0013</v>
      </c>
    </row>
    <row r="58" spans="1:9">
      <c r="A58" s="32"/>
      <c r="B58" s="85">
        <v>45184</v>
      </c>
      <c r="C58" s="67">
        <v>59.27</v>
      </c>
      <c r="D58" s="81">
        <f t="shared" si="0"/>
        <v>0.01126087698345</v>
      </c>
      <c r="G58" s="82">
        <v>45184</v>
      </c>
      <c r="H58" s="83">
        <v>45753.5</v>
      </c>
      <c r="I58" s="90">
        <v>0.0023</v>
      </c>
    </row>
    <row r="59" spans="1:9">
      <c r="A59" s="32"/>
      <c r="B59" s="85">
        <v>45187</v>
      </c>
      <c r="C59" s="67">
        <v>59.71</v>
      </c>
      <c r="D59" s="81">
        <f t="shared" si="0"/>
        <v>0.00742365446262861</v>
      </c>
      <c r="G59" s="82">
        <v>45187</v>
      </c>
      <c r="H59" s="83">
        <v>45837.4</v>
      </c>
      <c r="I59" s="90">
        <v>0.0018</v>
      </c>
    </row>
    <row r="60" spans="1:9">
      <c r="A60" s="32"/>
      <c r="B60" s="85">
        <v>45188</v>
      </c>
      <c r="C60" s="67">
        <v>59.54</v>
      </c>
      <c r="D60" s="81">
        <f t="shared" si="0"/>
        <v>-0.00284709428906384</v>
      </c>
      <c r="G60" s="82">
        <v>45188</v>
      </c>
      <c r="H60" s="83">
        <v>45914.2</v>
      </c>
      <c r="I60" s="90">
        <v>0.0017</v>
      </c>
    </row>
    <row r="61" spans="1:9">
      <c r="A61" s="32"/>
      <c r="B61" s="85">
        <v>45189</v>
      </c>
      <c r="C61" s="67">
        <v>59.38</v>
      </c>
      <c r="D61" s="81">
        <f t="shared" si="0"/>
        <v>-0.00268726906281486</v>
      </c>
      <c r="G61" s="82">
        <v>45189</v>
      </c>
      <c r="H61" s="83">
        <v>45932.5</v>
      </c>
      <c r="I61" s="90">
        <v>0.0004</v>
      </c>
    </row>
    <row r="62" spans="1:9">
      <c r="A62" s="32"/>
      <c r="B62" s="85">
        <v>45190</v>
      </c>
      <c r="C62" s="67">
        <v>60.02</v>
      </c>
      <c r="D62" s="81">
        <f t="shared" si="0"/>
        <v>0.0107780397440216</v>
      </c>
      <c r="G62" s="82">
        <v>45190</v>
      </c>
      <c r="H62" s="83">
        <v>46304.7</v>
      </c>
      <c r="I62" s="90">
        <v>0.0081</v>
      </c>
    </row>
    <row r="63" spans="1:9">
      <c r="A63" s="32"/>
      <c r="B63" s="85">
        <v>45191</v>
      </c>
      <c r="C63" s="67">
        <v>60.71</v>
      </c>
      <c r="D63" s="81">
        <f t="shared" si="0"/>
        <v>0.0114961679440186</v>
      </c>
      <c r="G63" s="82">
        <v>45191</v>
      </c>
      <c r="H63" s="83">
        <v>46436.4</v>
      </c>
      <c r="I63" s="90">
        <v>0.0028</v>
      </c>
    </row>
    <row r="64" spans="1:9">
      <c r="A64" s="32"/>
      <c r="B64" s="85">
        <v>45194</v>
      </c>
      <c r="C64" s="67">
        <v>61.65</v>
      </c>
      <c r="D64" s="81">
        <f t="shared" si="0"/>
        <v>0.0154834458902981</v>
      </c>
      <c r="G64" s="82">
        <v>45194</v>
      </c>
      <c r="H64" s="83">
        <v>46394.3</v>
      </c>
      <c r="I64" s="90">
        <v>-0.0009</v>
      </c>
    </row>
    <row r="65" spans="1:9">
      <c r="A65" s="32"/>
      <c r="B65" s="85">
        <v>45195</v>
      </c>
      <c r="C65" s="67">
        <v>60.39</v>
      </c>
      <c r="D65" s="81">
        <f t="shared" si="0"/>
        <v>-0.0204379562043795</v>
      </c>
      <c r="G65" s="82">
        <v>45195</v>
      </c>
      <c r="H65" s="83">
        <v>46308.5</v>
      </c>
      <c r="I65" s="90">
        <v>-0.0018</v>
      </c>
    </row>
    <row r="66" spans="1:9">
      <c r="A66" s="32"/>
      <c r="B66" s="85">
        <v>45196</v>
      </c>
      <c r="C66" s="67">
        <v>60.83</v>
      </c>
      <c r="D66" s="81">
        <f t="shared" si="0"/>
        <v>0.00728597449908922</v>
      </c>
      <c r="G66" s="82">
        <v>45196</v>
      </c>
      <c r="H66" s="83">
        <v>46408</v>
      </c>
      <c r="I66" s="90">
        <v>0.0021</v>
      </c>
    </row>
    <row r="67" spans="1:9">
      <c r="A67" s="32"/>
      <c r="B67" s="85">
        <v>45197</v>
      </c>
      <c r="C67" s="67">
        <v>60.02</v>
      </c>
      <c r="D67" s="81">
        <f t="shared" si="0"/>
        <v>-0.0133157981259246</v>
      </c>
      <c r="G67" s="82">
        <v>45197</v>
      </c>
      <c r="H67" s="83">
        <v>46232.6</v>
      </c>
      <c r="I67" s="90">
        <v>-0.0038</v>
      </c>
    </row>
    <row r="68" spans="1:9">
      <c r="A68" s="32"/>
      <c r="B68" s="85">
        <v>45201</v>
      </c>
      <c r="C68" s="67">
        <v>60.91</v>
      </c>
      <c r="D68" s="81">
        <f t="shared" si="0"/>
        <v>0.0148283905364877</v>
      </c>
      <c r="G68" s="82">
        <v>45201</v>
      </c>
      <c r="H68" s="83">
        <v>46627.1</v>
      </c>
      <c r="I68" s="90">
        <v>0.0085</v>
      </c>
    </row>
    <row r="69" spans="1:9">
      <c r="A69" s="32"/>
      <c r="B69" s="85">
        <v>45202</v>
      </c>
      <c r="C69" s="67">
        <v>60.86</v>
      </c>
      <c r="D69" s="81">
        <f t="shared" si="0"/>
        <v>-0.000820883270398903</v>
      </c>
      <c r="G69" s="82">
        <v>45202</v>
      </c>
      <c r="H69" s="83">
        <v>46756.8</v>
      </c>
      <c r="I69" s="90">
        <v>0.0028</v>
      </c>
    </row>
    <row r="70" spans="1:9">
      <c r="A70" s="32"/>
      <c r="B70" s="85">
        <v>45203</v>
      </c>
      <c r="C70" s="67">
        <v>61.73</v>
      </c>
      <c r="D70" s="81">
        <f t="shared" si="0"/>
        <v>0.0142951035162668</v>
      </c>
      <c r="G70" s="82">
        <v>45203</v>
      </c>
      <c r="H70" s="83">
        <v>47079.8</v>
      </c>
      <c r="I70" s="90">
        <v>0.0069</v>
      </c>
    </row>
    <row r="71" spans="1:9">
      <c r="A71" s="32"/>
      <c r="B71" s="85">
        <v>45204</v>
      </c>
      <c r="C71" s="67">
        <v>62.42</v>
      </c>
      <c r="D71" s="81">
        <f t="shared" si="0"/>
        <v>0.0111777093795562</v>
      </c>
      <c r="G71" s="82">
        <v>45204</v>
      </c>
      <c r="H71" s="83">
        <v>47484.6</v>
      </c>
      <c r="I71" s="90">
        <v>0.0086</v>
      </c>
    </row>
    <row r="72" spans="1:9">
      <c r="A72" s="32"/>
      <c r="B72" s="85">
        <v>45205</v>
      </c>
      <c r="C72" s="67">
        <v>63</v>
      </c>
      <c r="D72" s="81">
        <f t="shared" ref="D72:D135" si="1">(C72-C71)/C71</f>
        <v>0.00929189362383849</v>
      </c>
      <c r="G72" s="82">
        <v>45205</v>
      </c>
      <c r="H72" s="83">
        <v>47508.7</v>
      </c>
      <c r="I72" s="90">
        <v>0.0005</v>
      </c>
    </row>
    <row r="73" spans="1:9">
      <c r="A73" s="32"/>
      <c r="B73" s="85">
        <v>45208</v>
      </c>
      <c r="C73" s="67">
        <v>62.81</v>
      </c>
      <c r="D73" s="81">
        <f t="shared" si="1"/>
        <v>-0.00301587301587298</v>
      </c>
      <c r="G73" s="82">
        <v>45208</v>
      </c>
      <c r="H73" s="83">
        <v>47736.6</v>
      </c>
      <c r="I73" s="90">
        <v>0.0048</v>
      </c>
    </row>
    <row r="74" spans="1:9">
      <c r="A74" s="32"/>
      <c r="B74" s="85">
        <v>45209</v>
      </c>
      <c r="C74" s="67">
        <v>63.4</v>
      </c>
      <c r="D74" s="81">
        <f t="shared" si="1"/>
        <v>0.00939340869288324</v>
      </c>
      <c r="G74" s="82">
        <v>45209</v>
      </c>
      <c r="H74" s="83">
        <v>48143.5</v>
      </c>
      <c r="I74" s="90">
        <v>0.0085</v>
      </c>
    </row>
    <row r="75" spans="1:9">
      <c r="A75" s="32"/>
      <c r="B75" s="85">
        <v>45210</v>
      </c>
      <c r="C75" s="67">
        <v>63.21</v>
      </c>
      <c r="D75" s="81">
        <f t="shared" si="1"/>
        <v>-0.00299684542586747</v>
      </c>
      <c r="G75" s="82">
        <v>45210</v>
      </c>
      <c r="H75" s="83">
        <v>48501.8</v>
      </c>
      <c r="I75" s="90">
        <v>0.0074</v>
      </c>
    </row>
    <row r="76" spans="1:9">
      <c r="A76" s="32"/>
      <c r="B76" s="85">
        <v>45211</v>
      </c>
      <c r="C76" s="67">
        <v>62.6</v>
      </c>
      <c r="D76" s="81">
        <f t="shared" si="1"/>
        <v>-0.00965037177661762</v>
      </c>
      <c r="G76" s="82">
        <v>45211</v>
      </c>
      <c r="H76" s="83">
        <v>48771.7</v>
      </c>
      <c r="I76" s="90">
        <v>0.0056</v>
      </c>
    </row>
    <row r="77" spans="1:9">
      <c r="A77" s="32"/>
      <c r="B77" s="85">
        <v>45212</v>
      </c>
      <c r="C77" s="67">
        <v>63.67</v>
      </c>
      <c r="D77" s="81">
        <f t="shared" si="1"/>
        <v>0.0170926517571885</v>
      </c>
      <c r="G77" s="82">
        <v>45212</v>
      </c>
      <c r="H77" s="83">
        <v>49493.5</v>
      </c>
      <c r="I77" s="90">
        <v>0.0148</v>
      </c>
    </row>
    <row r="78" spans="1:9">
      <c r="A78" s="32"/>
      <c r="B78" s="85">
        <v>45215</v>
      </c>
      <c r="C78" s="67">
        <v>61.17</v>
      </c>
      <c r="D78" s="81">
        <f t="shared" si="1"/>
        <v>-0.0392649599497409</v>
      </c>
      <c r="G78" s="82">
        <v>45215</v>
      </c>
      <c r="H78" s="83">
        <v>49719.9</v>
      </c>
      <c r="I78" s="90">
        <v>0.0046</v>
      </c>
    </row>
    <row r="79" spans="1:9">
      <c r="A79" s="32"/>
      <c r="B79" s="85">
        <v>45216</v>
      </c>
      <c r="C79" s="67">
        <v>59.93</v>
      </c>
      <c r="D79" s="81">
        <f t="shared" si="1"/>
        <v>-0.0202713748569561</v>
      </c>
      <c r="G79" s="82">
        <v>45216</v>
      </c>
      <c r="H79" s="83">
        <v>49527.9</v>
      </c>
      <c r="I79" s="90">
        <v>-0.0039</v>
      </c>
    </row>
    <row r="80" spans="1:9">
      <c r="A80" s="32"/>
      <c r="B80" s="85">
        <v>45217</v>
      </c>
      <c r="C80" s="67">
        <v>58.5</v>
      </c>
      <c r="D80" s="81">
        <f t="shared" si="1"/>
        <v>-0.0238611713665944</v>
      </c>
      <c r="G80" s="82">
        <v>45217</v>
      </c>
      <c r="H80" s="83">
        <v>49406.2</v>
      </c>
      <c r="I80" s="90">
        <v>-0.0025</v>
      </c>
    </row>
    <row r="81" spans="1:9">
      <c r="A81" s="32"/>
      <c r="B81" s="85">
        <v>45218</v>
      </c>
      <c r="C81" s="67">
        <v>59.61</v>
      </c>
      <c r="D81" s="81">
        <f t="shared" si="1"/>
        <v>0.018974358974359</v>
      </c>
      <c r="G81" s="82">
        <v>45218</v>
      </c>
      <c r="H81" s="83">
        <v>50324</v>
      </c>
      <c r="I81" s="90">
        <v>0.0186</v>
      </c>
    </row>
    <row r="82" spans="1:9">
      <c r="A82" s="32"/>
      <c r="B82" s="85">
        <v>45219</v>
      </c>
      <c r="C82" s="67">
        <v>60.09</v>
      </c>
      <c r="D82" s="81">
        <f t="shared" si="1"/>
        <v>0.008052340211374</v>
      </c>
      <c r="G82" s="82">
        <v>45219</v>
      </c>
      <c r="H82" s="83">
        <v>50674.5</v>
      </c>
      <c r="I82" s="90">
        <v>0.007</v>
      </c>
    </row>
    <row r="83" spans="1:9">
      <c r="A83" s="32"/>
      <c r="B83" s="85">
        <v>45222</v>
      </c>
      <c r="C83" s="67">
        <v>60.79</v>
      </c>
      <c r="D83" s="81">
        <f t="shared" si="1"/>
        <v>0.0116491928773506</v>
      </c>
      <c r="G83" s="82">
        <v>45222</v>
      </c>
      <c r="H83" s="83">
        <v>51072.7</v>
      </c>
      <c r="I83" s="90">
        <v>0.0079</v>
      </c>
    </row>
    <row r="84" spans="2:9">
      <c r="B84" s="85">
        <v>45223</v>
      </c>
      <c r="C84" s="67">
        <v>60.67</v>
      </c>
      <c r="D84" s="81">
        <f t="shared" si="1"/>
        <v>-0.00197400888303993</v>
      </c>
      <c r="G84" s="82">
        <v>45223</v>
      </c>
      <c r="H84" s="83">
        <v>51068.2</v>
      </c>
      <c r="I84" s="90">
        <v>-0.0001</v>
      </c>
    </row>
    <row r="85" spans="2:9">
      <c r="B85" s="85">
        <v>45224</v>
      </c>
      <c r="C85" s="67">
        <v>60.56</v>
      </c>
      <c r="D85" s="81">
        <f t="shared" si="1"/>
        <v>-0.00181308719301136</v>
      </c>
      <c r="G85" s="82">
        <v>45224</v>
      </c>
      <c r="H85" s="83">
        <v>51125.3</v>
      </c>
      <c r="I85" s="90">
        <v>0.0011</v>
      </c>
    </row>
    <row r="86" spans="2:9">
      <c r="B86" s="85">
        <v>45225</v>
      </c>
      <c r="C86" s="67">
        <v>61.02</v>
      </c>
      <c r="D86" s="81">
        <f t="shared" si="1"/>
        <v>0.00759577278731838</v>
      </c>
      <c r="G86" s="82">
        <v>45225</v>
      </c>
      <c r="H86" s="83">
        <v>51158.4</v>
      </c>
      <c r="I86" s="90">
        <v>0.0006</v>
      </c>
    </row>
    <row r="87" spans="2:9">
      <c r="B87" s="85">
        <v>45226</v>
      </c>
      <c r="C87" s="67">
        <v>60.02</v>
      </c>
      <c r="D87" s="81">
        <f t="shared" si="1"/>
        <v>-0.0163880694854146</v>
      </c>
      <c r="G87" s="82">
        <v>45226</v>
      </c>
      <c r="H87" s="83">
        <v>50958.5</v>
      </c>
      <c r="I87" s="90">
        <v>-0.0039</v>
      </c>
    </row>
    <row r="88" spans="2:9">
      <c r="B88" s="85">
        <v>45229</v>
      </c>
      <c r="C88" s="67">
        <v>60.47</v>
      </c>
      <c r="D88" s="81">
        <f t="shared" si="1"/>
        <v>0.00749750083305558</v>
      </c>
      <c r="G88" s="82">
        <v>45229</v>
      </c>
      <c r="H88" s="83">
        <v>51482.9</v>
      </c>
      <c r="I88" s="90">
        <v>0.0103</v>
      </c>
    </row>
    <row r="89" spans="2:9">
      <c r="B89" s="85">
        <v>45230</v>
      </c>
      <c r="C89" s="67">
        <v>60.07</v>
      </c>
      <c r="D89" s="81">
        <f t="shared" si="1"/>
        <v>-0.00661485033901106</v>
      </c>
      <c r="G89" s="82">
        <v>45230</v>
      </c>
      <c r="H89" s="83">
        <v>51976.3</v>
      </c>
      <c r="I89" s="90">
        <v>0.0096</v>
      </c>
    </row>
    <row r="90" spans="2:9">
      <c r="B90" s="85">
        <v>45231</v>
      </c>
      <c r="C90" s="67">
        <v>63.8</v>
      </c>
      <c r="D90" s="81">
        <f t="shared" si="1"/>
        <v>0.0620942234060263</v>
      </c>
      <c r="G90" s="82">
        <v>45231</v>
      </c>
      <c r="H90" s="83">
        <v>52357.1</v>
      </c>
      <c r="I90" s="90">
        <v>0.0073</v>
      </c>
    </row>
    <row r="91" spans="2:9">
      <c r="B91" s="85">
        <v>45232</v>
      </c>
      <c r="C91" s="67">
        <v>65.63</v>
      </c>
      <c r="D91" s="81">
        <f t="shared" si="1"/>
        <v>0.0286833855799373</v>
      </c>
      <c r="G91" s="82">
        <v>45232</v>
      </c>
      <c r="H91" s="83">
        <v>52701.4</v>
      </c>
      <c r="I91" s="90">
        <v>0.0066</v>
      </c>
    </row>
    <row r="92" spans="2:9">
      <c r="B92" s="85">
        <v>45233</v>
      </c>
      <c r="C92" s="67">
        <v>68.06</v>
      </c>
      <c r="D92" s="81">
        <f t="shared" si="1"/>
        <v>0.0370257504190158</v>
      </c>
      <c r="G92" s="82">
        <v>45233</v>
      </c>
      <c r="H92" s="83">
        <v>53175.7</v>
      </c>
      <c r="I92" s="90">
        <v>0.009</v>
      </c>
    </row>
    <row r="93" spans="2:9">
      <c r="B93" s="85">
        <v>45236</v>
      </c>
      <c r="C93" s="67">
        <v>71.88</v>
      </c>
      <c r="D93" s="81">
        <f t="shared" si="1"/>
        <v>0.0561269468116367</v>
      </c>
      <c r="G93" s="82">
        <v>45236</v>
      </c>
      <c r="H93" s="83">
        <v>53941</v>
      </c>
      <c r="I93" s="90">
        <v>0.0144</v>
      </c>
    </row>
    <row r="94" spans="2:9">
      <c r="B94" s="85">
        <v>45237</v>
      </c>
      <c r="C94" s="67">
        <v>69.26</v>
      </c>
      <c r="D94" s="81">
        <f t="shared" si="1"/>
        <v>-0.0364496382860321</v>
      </c>
      <c r="G94" s="82">
        <v>45237</v>
      </c>
      <c r="H94" s="83">
        <v>53810.8</v>
      </c>
      <c r="I94" s="90">
        <v>-0.0024</v>
      </c>
    </row>
    <row r="95" spans="2:9">
      <c r="B95" s="85">
        <v>45238</v>
      </c>
      <c r="C95" s="67">
        <v>69.98</v>
      </c>
      <c r="D95" s="81">
        <f t="shared" si="1"/>
        <v>0.0103956107421311</v>
      </c>
      <c r="G95" s="82">
        <v>45238</v>
      </c>
      <c r="H95" s="83">
        <v>54307.4</v>
      </c>
      <c r="I95" s="90">
        <v>0.0092</v>
      </c>
    </row>
    <row r="96" spans="2:9">
      <c r="B96" s="85">
        <v>45240</v>
      </c>
      <c r="C96" s="67">
        <v>70.81</v>
      </c>
      <c r="D96" s="81">
        <f t="shared" si="1"/>
        <v>0.0118605315804515</v>
      </c>
      <c r="G96" s="82">
        <v>45240</v>
      </c>
      <c r="H96" s="83">
        <v>55399.7</v>
      </c>
      <c r="I96" s="90">
        <v>0.0201</v>
      </c>
    </row>
    <row r="97" spans="2:9">
      <c r="B97" s="85">
        <v>45243</v>
      </c>
      <c r="C97" s="67">
        <v>73.22</v>
      </c>
      <c r="D97" s="81">
        <f t="shared" si="1"/>
        <v>0.0340347408558113</v>
      </c>
      <c r="G97" s="82">
        <v>45243</v>
      </c>
      <c r="H97" s="83">
        <v>56526.7</v>
      </c>
      <c r="I97" s="90">
        <v>0.0203</v>
      </c>
    </row>
    <row r="98" spans="2:9">
      <c r="B98" s="85">
        <v>45244</v>
      </c>
      <c r="C98" s="67">
        <v>72.44</v>
      </c>
      <c r="D98" s="81">
        <f t="shared" si="1"/>
        <v>-0.0106528270964218</v>
      </c>
      <c r="G98" s="82">
        <v>45244</v>
      </c>
      <c r="H98" s="83">
        <v>56644.6</v>
      </c>
      <c r="I98" s="90">
        <v>0.0021</v>
      </c>
    </row>
    <row r="99" spans="2:9">
      <c r="B99" s="85">
        <v>45245</v>
      </c>
      <c r="C99" s="67">
        <v>73.02</v>
      </c>
      <c r="D99" s="81">
        <f t="shared" si="1"/>
        <v>0.00800662617338485</v>
      </c>
      <c r="G99" s="82">
        <v>45245</v>
      </c>
      <c r="H99" s="83">
        <v>56765.3</v>
      </c>
      <c r="I99" s="90">
        <v>0.0021</v>
      </c>
    </row>
    <row r="100" spans="2:9">
      <c r="B100" s="85">
        <v>45246</v>
      </c>
      <c r="C100" s="67">
        <v>75.51</v>
      </c>
      <c r="D100" s="81">
        <f t="shared" si="1"/>
        <v>0.0341002465078062</v>
      </c>
      <c r="G100" s="82">
        <v>45246</v>
      </c>
      <c r="H100" s="83">
        <v>57344.2</v>
      </c>
      <c r="I100" s="90">
        <v>0.0102</v>
      </c>
    </row>
    <row r="101" spans="2:9">
      <c r="B101" s="85">
        <v>45247</v>
      </c>
      <c r="C101" s="67">
        <v>74.78</v>
      </c>
      <c r="D101" s="81">
        <f t="shared" si="1"/>
        <v>-0.00966759369619923</v>
      </c>
      <c r="G101" s="82">
        <v>45247</v>
      </c>
      <c r="H101" s="83">
        <v>57017</v>
      </c>
      <c r="I101" s="90">
        <v>-0.0057</v>
      </c>
    </row>
    <row r="102" spans="2:9">
      <c r="B102" s="85">
        <v>45250</v>
      </c>
      <c r="C102" s="67">
        <v>74</v>
      </c>
      <c r="D102" s="81">
        <f t="shared" si="1"/>
        <v>-0.0104305964161541</v>
      </c>
      <c r="G102" s="82">
        <v>45250</v>
      </c>
      <c r="H102" s="83">
        <v>57066</v>
      </c>
      <c r="I102" s="90">
        <v>0.0009</v>
      </c>
    </row>
    <row r="103" spans="2:9">
      <c r="B103" s="85">
        <v>45251</v>
      </c>
      <c r="C103" s="67">
        <v>73.51</v>
      </c>
      <c r="D103" s="81">
        <f t="shared" si="1"/>
        <v>-0.00662162162162155</v>
      </c>
      <c r="G103" s="82">
        <v>45251</v>
      </c>
      <c r="H103" s="83">
        <v>57408.2</v>
      </c>
      <c r="I103" s="90">
        <v>0.006</v>
      </c>
    </row>
    <row r="104" spans="2:9">
      <c r="B104" s="85">
        <v>45252</v>
      </c>
      <c r="C104" s="67">
        <v>74.08</v>
      </c>
      <c r="D104" s="81">
        <f t="shared" si="1"/>
        <v>0.00775404706842597</v>
      </c>
      <c r="G104" s="82">
        <v>45252</v>
      </c>
      <c r="H104" s="83">
        <v>58178.3</v>
      </c>
      <c r="I104" s="90">
        <v>0.0134</v>
      </c>
    </row>
    <row r="105" spans="2:9">
      <c r="B105" s="85">
        <v>45253</v>
      </c>
      <c r="C105" s="67">
        <v>74.94</v>
      </c>
      <c r="D105" s="81">
        <f t="shared" si="1"/>
        <v>0.011609071274298</v>
      </c>
      <c r="G105" s="82">
        <v>45253</v>
      </c>
      <c r="H105" s="83">
        <v>58910.8</v>
      </c>
      <c r="I105" s="90">
        <v>0.0126</v>
      </c>
    </row>
    <row r="106" spans="2:9">
      <c r="B106" s="85">
        <v>45254</v>
      </c>
      <c r="C106" s="67">
        <v>78.1</v>
      </c>
      <c r="D106" s="81">
        <f t="shared" si="1"/>
        <v>0.0421670669869228</v>
      </c>
      <c r="G106" s="82">
        <v>45254</v>
      </c>
      <c r="H106" s="83">
        <v>59173.3</v>
      </c>
      <c r="I106" s="90">
        <v>0.0045</v>
      </c>
    </row>
    <row r="107" spans="2:9">
      <c r="B107" s="85">
        <v>45257</v>
      </c>
      <c r="C107" s="67">
        <v>79.57</v>
      </c>
      <c r="D107" s="81">
        <f t="shared" si="1"/>
        <v>0.0188220230473751</v>
      </c>
      <c r="G107" s="82">
        <v>45257</v>
      </c>
      <c r="H107" s="83">
        <v>59774.1</v>
      </c>
      <c r="I107" s="90">
        <v>0.0102</v>
      </c>
    </row>
    <row r="108" spans="2:9">
      <c r="B108" s="85">
        <v>45258</v>
      </c>
      <c r="C108" s="67">
        <v>80.21</v>
      </c>
      <c r="D108" s="81">
        <f t="shared" si="1"/>
        <v>0.00804323237401031</v>
      </c>
      <c r="G108" s="82">
        <v>45258</v>
      </c>
      <c r="H108" s="83">
        <v>60845.5</v>
      </c>
      <c r="I108" s="90">
        <v>0.0179</v>
      </c>
    </row>
    <row r="109" spans="2:9">
      <c r="B109" s="85">
        <v>45259</v>
      </c>
      <c r="C109" s="67">
        <v>77.84</v>
      </c>
      <c r="D109" s="81">
        <f t="shared" si="1"/>
        <v>-0.0295474379753147</v>
      </c>
      <c r="G109" s="82">
        <v>45259</v>
      </c>
      <c r="H109" s="83">
        <v>60499</v>
      </c>
      <c r="I109" s="90">
        <v>-0.0057</v>
      </c>
    </row>
    <row r="110" spans="2:9">
      <c r="B110" s="85">
        <v>45260</v>
      </c>
      <c r="C110" s="67">
        <v>78.24</v>
      </c>
      <c r="D110" s="81">
        <f t="shared" si="1"/>
        <v>0.00513874614594028</v>
      </c>
      <c r="G110" s="82">
        <v>45260</v>
      </c>
      <c r="H110" s="83">
        <v>60526.8</v>
      </c>
      <c r="I110" s="90">
        <v>0.0005</v>
      </c>
    </row>
    <row r="111" spans="2:9">
      <c r="B111" s="85">
        <v>45261</v>
      </c>
      <c r="C111" s="67">
        <v>80.62</v>
      </c>
      <c r="D111" s="81">
        <f t="shared" si="1"/>
        <v>0.0304192229038856</v>
      </c>
      <c r="G111" s="82">
        <v>45261</v>
      </c>
      <c r="H111" s="83">
        <v>61691.3</v>
      </c>
      <c r="I111" s="90">
        <v>0.0192</v>
      </c>
    </row>
    <row r="112" spans="2:9">
      <c r="B112" s="85">
        <v>45264</v>
      </c>
      <c r="C112" s="67">
        <v>82.81</v>
      </c>
      <c r="D112" s="81">
        <f t="shared" si="1"/>
        <v>0.0271644753162987</v>
      </c>
      <c r="G112" s="82">
        <v>45264</v>
      </c>
      <c r="H112" s="83">
        <v>62575.4</v>
      </c>
      <c r="I112" s="90">
        <v>0.0143</v>
      </c>
    </row>
    <row r="113" spans="2:9">
      <c r="B113" s="85">
        <v>45265</v>
      </c>
      <c r="C113" s="67">
        <v>82.38</v>
      </c>
      <c r="D113" s="81">
        <f t="shared" si="1"/>
        <v>-0.00519260958821407</v>
      </c>
      <c r="G113" s="82">
        <v>45265</v>
      </c>
      <c r="H113" s="83">
        <v>63028.1</v>
      </c>
      <c r="I113" s="90">
        <v>0.0072</v>
      </c>
    </row>
    <row r="114" spans="2:9">
      <c r="B114" s="85">
        <v>45266</v>
      </c>
      <c r="C114" s="67">
        <v>83.07</v>
      </c>
      <c r="D114" s="81">
        <f t="shared" si="1"/>
        <v>0.00837581937363435</v>
      </c>
      <c r="G114" s="82">
        <v>45266</v>
      </c>
      <c r="H114" s="83">
        <v>63778.8</v>
      </c>
      <c r="I114" s="90">
        <v>0.0119</v>
      </c>
    </row>
    <row r="115" spans="2:9">
      <c r="B115" s="85">
        <v>45267</v>
      </c>
      <c r="C115" s="67">
        <v>82.94</v>
      </c>
      <c r="D115" s="81">
        <f t="shared" si="1"/>
        <v>-0.001564945226917</v>
      </c>
      <c r="G115" s="82">
        <v>45267</v>
      </c>
      <c r="H115" s="83">
        <v>64718.1</v>
      </c>
      <c r="I115" s="90">
        <v>0.0147</v>
      </c>
    </row>
    <row r="116" spans="2:9">
      <c r="B116" s="85">
        <v>45268</v>
      </c>
      <c r="C116" s="67">
        <v>82.34</v>
      </c>
      <c r="D116" s="81">
        <f t="shared" si="1"/>
        <v>-0.00723414516517958</v>
      </c>
      <c r="G116" s="82">
        <v>45268</v>
      </c>
      <c r="H116" s="83">
        <v>66223.6</v>
      </c>
      <c r="I116" s="90">
        <v>0.0233</v>
      </c>
    </row>
    <row r="117" spans="2:9">
      <c r="B117" s="85">
        <v>45271</v>
      </c>
      <c r="C117" s="67">
        <v>82.67</v>
      </c>
      <c r="D117" s="81">
        <f t="shared" si="1"/>
        <v>0.00400777264998783</v>
      </c>
      <c r="G117" s="82">
        <v>45271</v>
      </c>
      <c r="H117" s="83">
        <v>66012.3</v>
      </c>
      <c r="I117" s="90">
        <v>-0.0032</v>
      </c>
    </row>
    <row r="118" spans="2:9">
      <c r="B118" s="85">
        <v>45272</v>
      </c>
      <c r="C118" s="67">
        <v>83.38</v>
      </c>
      <c r="D118" s="81">
        <f t="shared" si="1"/>
        <v>0.00858836337244458</v>
      </c>
      <c r="G118" s="82">
        <v>45272</v>
      </c>
      <c r="H118" s="83">
        <v>66426.8</v>
      </c>
      <c r="I118" s="90">
        <v>0.0063</v>
      </c>
    </row>
    <row r="119" spans="2:9">
      <c r="B119" s="85">
        <v>45273</v>
      </c>
      <c r="C119" s="67">
        <v>82.4</v>
      </c>
      <c r="D119" s="81">
        <f t="shared" si="1"/>
        <v>-0.0117534180858718</v>
      </c>
      <c r="G119" s="82">
        <v>45273</v>
      </c>
      <c r="H119" s="83">
        <v>65280.2</v>
      </c>
      <c r="I119" s="90">
        <v>-0.0173</v>
      </c>
    </row>
    <row r="120" spans="2:9">
      <c r="B120" s="85">
        <v>45274</v>
      </c>
      <c r="C120" s="67">
        <v>82.3</v>
      </c>
      <c r="D120" s="81">
        <f t="shared" si="1"/>
        <v>-0.00121359223300981</v>
      </c>
      <c r="G120" s="82">
        <v>45274</v>
      </c>
      <c r="H120" s="83">
        <v>65450.2</v>
      </c>
      <c r="I120" s="90">
        <v>0.0026</v>
      </c>
    </row>
    <row r="121" spans="2:9">
      <c r="B121" s="85">
        <v>45275</v>
      </c>
      <c r="C121" s="67">
        <v>83.64</v>
      </c>
      <c r="D121" s="81">
        <f t="shared" si="1"/>
        <v>0.0162818955042528</v>
      </c>
      <c r="G121" s="82">
        <v>45275</v>
      </c>
      <c r="H121" s="83">
        <v>66130</v>
      </c>
      <c r="I121" s="90">
        <v>0.0104</v>
      </c>
    </row>
    <row r="122" spans="2:9">
      <c r="B122" s="85">
        <v>45278</v>
      </c>
      <c r="C122" s="67">
        <v>82.8</v>
      </c>
      <c r="D122" s="81">
        <f t="shared" si="1"/>
        <v>-0.0100430416068867</v>
      </c>
      <c r="G122" s="82">
        <v>45278</v>
      </c>
      <c r="H122" s="83">
        <v>65204.7</v>
      </c>
      <c r="I122" s="90">
        <v>-0.014</v>
      </c>
    </row>
    <row r="123" spans="2:9">
      <c r="B123" s="85">
        <v>45279</v>
      </c>
      <c r="C123" s="67">
        <v>78.61</v>
      </c>
      <c r="D123" s="81">
        <f t="shared" si="1"/>
        <v>-0.0506038647342995</v>
      </c>
      <c r="G123" s="82">
        <v>45279</v>
      </c>
      <c r="H123" s="83">
        <v>62833</v>
      </c>
      <c r="I123" s="90">
        <v>-0.0364</v>
      </c>
    </row>
    <row r="124" spans="2:9">
      <c r="B124" s="85">
        <v>45280</v>
      </c>
      <c r="C124" s="67">
        <v>76.73</v>
      </c>
      <c r="D124" s="81">
        <f t="shared" si="1"/>
        <v>-0.0239155323750158</v>
      </c>
      <c r="G124" s="82">
        <v>45280</v>
      </c>
      <c r="H124" s="83">
        <v>62448</v>
      </c>
      <c r="I124" s="90">
        <v>-0.0061</v>
      </c>
    </row>
    <row r="125" spans="2:9">
      <c r="B125" s="85">
        <v>45281</v>
      </c>
      <c r="C125" s="67">
        <v>79.03</v>
      </c>
      <c r="D125" s="81">
        <f t="shared" si="1"/>
        <v>0.0299752378469959</v>
      </c>
      <c r="G125" s="82">
        <v>45281</v>
      </c>
      <c r="H125" s="83">
        <v>62693.6</v>
      </c>
      <c r="I125" s="90">
        <v>0.0039</v>
      </c>
    </row>
    <row r="126" spans="2:9">
      <c r="B126" s="85">
        <v>45282</v>
      </c>
      <c r="C126" s="67">
        <v>78.56</v>
      </c>
      <c r="D126" s="81">
        <f t="shared" si="1"/>
        <v>-0.00594710869290142</v>
      </c>
      <c r="G126" s="82">
        <v>45282</v>
      </c>
      <c r="H126" s="83">
        <v>61705.1</v>
      </c>
      <c r="I126" s="90">
        <v>-0.0158</v>
      </c>
    </row>
    <row r="127" spans="2:9">
      <c r="B127" s="85">
        <v>45286</v>
      </c>
      <c r="C127" s="67">
        <v>74.48</v>
      </c>
      <c r="D127" s="81">
        <f t="shared" si="1"/>
        <v>-0.0519348268839104</v>
      </c>
      <c r="G127" s="82">
        <v>45286</v>
      </c>
      <c r="H127" s="83">
        <v>59171</v>
      </c>
      <c r="I127" s="90">
        <v>-0.0411</v>
      </c>
    </row>
    <row r="128" spans="2:9">
      <c r="B128" s="85">
        <v>45287</v>
      </c>
      <c r="C128" s="67">
        <v>75.1</v>
      </c>
      <c r="D128" s="81">
        <f t="shared" si="1"/>
        <v>0.00832438238453263</v>
      </c>
      <c r="G128" s="82">
        <v>45287</v>
      </c>
      <c r="H128" s="83">
        <v>60863.6</v>
      </c>
      <c r="I128" s="90">
        <v>0.0286</v>
      </c>
    </row>
    <row r="129" spans="2:9">
      <c r="B129" s="85">
        <v>45288</v>
      </c>
      <c r="C129" s="67">
        <v>76.98</v>
      </c>
      <c r="D129" s="81">
        <f t="shared" si="1"/>
        <v>0.0250332889480694</v>
      </c>
      <c r="G129" s="82">
        <v>45288</v>
      </c>
      <c r="H129" s="83">
        <v>62052.2</v>
      </c>
      <c r="I129" s="90">
        <v>0.0195</v>
      </c>
    </row>
    <row r="130" spans="2:9">
      <c r="B130" s="85">
        <v>45289</v>
      </c>
      <c r="C130" s="67">
        <v>76.72</v>
      </c>
      <c r="D130" s="81">
        <f t="shared" si="1"/>
        <v>-0.00337750064951942</v>
      </c>
      <c r="G130" s="82">
        <v>45289</v>
      </c>
      <c r="H130" s="83">
        <v>62451</v>
      </c>
      <c r="I130" s="90">
        <v>0.0064</v>
      </c>
    </row>
    <row r="131" spans="2:9">
      <c r="B131" s="85">
        <v>45292</v>
      </c>
      <c r="C131" s="67">
        <v>80.33</v>
      </c>
      <c r="D131" s="81">
        <f t="shared" si="1"/>
        <v>0.0470542231491137</v>
      </c>
      <c r="G131" s="82">
        <v>45292</v>
      </c>
      <c r="H131" s="83">
        <v>64661.8</v>
      </c>
      <c r="I131" s="90">
        <v>0.0354</v>
      </c>
    </row>
    <row r="132" spans="2:9">
      <c r="B132" s="85">
        <v>45293</v>
      </c>
      <c r="C132" s="67">
        <v>79.64</v>
      </c>
      <c r="D132" s="81">
        <f t="shared" si="1"/>
        <v>-0.00858956803186851</v>
      </c>
      <c r="G132" s="82">
        <v>45293</v>
      </c>
      <c r="H132" s="83">
        <v>64349.6</v>
      </c>
      <c r="I132" s="90">
        <v>-0.0048</v>
      </c>
    </row>
    <row r="133" spans="2:9">
      <c r="B133" s="85">
        <v>45294</v>
      </c>
      <c r="C133" s="67">
        <v>79.54</v>
      </c>
      <c r="D133" s="81">
        <f t="shared" si="1"/>
        <v>-0.00125565042692107</v>
      </c>
      <c r="G133" s="82">
        <v>45294</v>
      </c>
      <c r="H133" s="83">
        <v>64646.9</v>
      </c>
      <c r="I133" s="90">
        <v>0.0046</v>
      </c>
    </row>
    <row r="134" spans="2:9">
      <c r="B134" s="85">
        <v>45295</v>
      </c>
      <c r="C134" s="67">
        <v>79</v>
      </c>
      <c r="D134" s="81">
        <f t="shared" si="1"/>
        <v>-0.00678903696253465</v>
      </c>
      <c r="G134" s="82">
        <v>45295</v>
      </c>
      <c r="H134" s="83">
        <v>64639.2</v>
      </c>
      <c r="I134" s="90">
        <v>-0.0001</v>
      </c>
    </row>
    <row r="135" spans="2:9">
      <c r="B135" s="85">
        <v>45296</v>
      </c>
      <c r="C135" s="67">
        <v>80.7</v>
      </c>
      <c r="D135" s="81">
        <f t="shared" si="1"/>
        <v>0.0215189873417722</v>
      </c>
      <c r="G135" s="82">
        <v>45296</v>
      </c>
      <c r="H135" s="83">
        <v>64514.9</v>
      </c>
      <c r="I135" s="90">
        <v>-0.0019</v>
      </c>
    </row>
    <row r="136" spans="2:9">
      <c r="B136" s="85">
        <v>45299</v>
      </c>
      <c r="C136" s="67">
        <v>80.32</v>
      </c>
      <c r="D136" s="81">
        <f t="shared" ref="D136:D199" si="2">(C136-C135)/C135</f>
        <v>-0.00470879801734832</v>
      </c>
      <c r="G136" s="82">
        <v>45299</v>
      </c>
      <c r="H136" s="83">
        <v>64237</v>
      </c>
      <c r="I136" s="90">
        <v>-0.0043</v>
      </c>
    </row>
    <row r="137" spans="2:9">
      <c r="B137" s="85">
        <v>45300</v>
      </c>
      <c r="C137" s="67">
        <v>79.91</v>
      </c>
      <c r="D137" s="81">
        <f t="shared" si="2"/>
        <v>-0.00510458167330673</v>
      </c>
      <c r="G137" s="82">
        <v>45300</v>
      </c>
      <c r="H137" s="83">
        <v>64170.6</v>
      </c>
      <c r="I137" s="90">
        <v>-0.001</v>
      </c>
    </row>
    <row r="138" spans="2:9">
      <c r="B138" s="85">
        <v>45301</v>
      </c>
      <c r="C138" s="67">
        <v>80.1</v>
      </c>
      <c r="D138" s="81">
        <f t="shared" si="2"/>
        <v>0.00237767488424475</v>
      </c>
      <c r="G138" s="82">
        <v>45301</v>
      </c>
      <c r="H138" s="83">
        <v>63919.9</v>
      </c>
      <c r="I138" s="90">
        <v>-0.0039</v>
      </c>
    </row>
    <row r="139" spans="2:9">
      <c r="B139" s="85">
        <v>45302</v>
      </c>
      <c r="C139" s="67">
        <v>81.31</v>
      </c>
      <c r="D139" s="81">
        <f t="shared" si="2"/>
        <v>0.0151061173533085</v>
      </c>
      <c r="G139" s="82">
        <v>45302</v>
      </c>
      <c r="H139" s="83">
        <v>64617.6</v>
      </c>
      <c r="I139" s="90">
        <v>0.0109</v>
      </c>
    </row>
    <row r="140" spans="2:9">
      <c r="B140" s="85">
        <v>45303</v>
      </c>
      <c r="C140" s="67">
        <v>80.88</v>
      </c>
      <c r="D140" s="81">
        <f t="shared" si="2"/>
        <v>-0.00528840241052769</v>
      </c>
      <c r="G140" s="82">
        <v>45303</v>
      </c>
      <c r="H140" s="83">
        <v>64637.6</v>
      </c>
      <c r="I140" s="90">
        <v>0.0003</v>
      </c>
    </row>
    <row r="141" spans="2:9">
      <c r="B141" s="85">
        <v>45306</v>
      </c>
      <c r="C141" s="67">
        <v>79.87</v>
      </c>
      <c r="D141" s="81">
        <f t="shared" si="2"/>
        <v>-0.0124876360039564</v>
      </c>
      <c r="G141" s="82">
        <v>45306</v>
      </c>
      <c r="H141" s="83">
        <v>64269.4</v>
      </c>
      <c r="I141" s="90">
        <v>-0.0057</v>
      </c>
    </row>
    <row r="142" spans="2:9">
      <c r="B142" s="85">
        <v>45307</v>
      </c>
      <c r="C142" s="67">
        <v>78.14</v>
      </c>
      <c r="D142" s="81">
        <f t="shared" si="2"/>
        <v>-0.0216601978214599</v>
      </c>
      <c r="G142" s="82">
        <v>45307</v>
      </c>
      <c r="H142" s="83">
        <v>63737.5</v>
      </c>
      <c r="I142" s="90">
        <v>-0.0083</v>
      </c>
    </row>
    <row r="143" spans="2:9">
      <c r="B143" s="85">
        <v>45308</v>
      </c>
      <c r="C143" s="67">
        <v>77.62</v>
      </c>
      <c r="D143" s="81">
        <f t="shared" si="2"/>
        <v>-0.00665472229331963</v>
      </c>
      <c r="G143" s="82">
        <v>45308</v>
      </c>
      <c r="H143" s="83">
        <v>63567.3</v>
      </c>
      <c r="I143" s="90">
        <v>-0.0027</v>
      </c>
    </row>
    <row r="144" spans="2:9">
      <c r="B144" s="85">
        <v>45309</v>
      </c>
      <c r="C144" s="67">
        <v>77.07</v>
      </c>
      <c r="D144" s="81">
        <f t="shared" si="2"/>
        <v>-0.00708580262818876</v>
      </c>
      <c r="G144" s="82">
        <v>45309</v>
      </c>
      <c r="H144" s="83">
        <v>63202.4</v>
      </c>
      <c r="I144" s="90">
        <v>-0.0057</v>
      </c>
    </row>
    <row r="145" spans="2:9">
      <c r="B145" s="85">
        <v>45310</v>
      </c>
      <c r="C145" s="67">
        <v>76.99</v>
      </c>
      <c r="D145" s="81">
        <f t="shared" si="2"/>
        <v>-0.00103801738679121</v>
      </c>
      <c r="G145" s="82">
        <v>45310</v>
      </c>
      <c r="H145" s="83">
        <v>63282.2</v>
      </c>
      <c r="I145" s="90">
        <v>0.0013</v>
      </c>
    </row>
    <row r="146" spans="2:9">
      <c r="B146" s="85">
        <v>45313</v>
      </c>
      <c r="C146" s="67">
        <v>76.59</v>
      </c>
      <c r="D146" s="81">
        <f t="shared" si="2"/>
        <v>-0.00519547993245865</v>
      </c>
      <c r="G146" s="82">
        <v>45313</v>
      </c>
      <c r="H146" s="83">
        <v>63939.4</v>
      </c>
      <c r="I146" s="90">
        <v>0.0104</v>
      </c>
    </row>
    <row r="147" spans="2:9">
      <c r="B147" s="85">
        <v>45314</v>
      </c>
      <c r="C147" s="67">
        <v>76.12</v>
      </c>
      <c r="D147" s="81">
        <f t="shared" si="2"/>
        <v>-0.00613657135396264</v>
      </c>
      <c r="G147" s="82">
        <v>45314</v>
      </c>
      <c r="H147" s="83">
        <v>64454.2</v>
      </c>
      <c r="I147" s="90">
        <v>0.0081</v>
      </c>
    </row>
    <row r="148" spans="2:9">
      <c r="B148" s="85">
        <v>45315</v>
      </c>
      <c r="C148" s="67">
        <v>76.56</v>
      </c>
      <c r="D148" s="81">
        <f t="shared" si="2"/>
        <v>0.00578034682080922</v>
      </c>
      <c r="G148" s="82">
        <v>45315</v>
      </c>
      <c r="H148" s="83">
        <v>64822.4</v>
      </c>
      <c r="I148" s="90">
        <v>0.0057</v>
      </c>
    </row>
    <row r="149" spans="2:9">
      <c r="B149" s="85">
        <v>45316</v>
      </c>
      <c r="C149" s="67">
        <v>76.73</v>
      </c>
      <c r="D149" s="81">
        <f t="shared" si="2"/>
        <v>0.00222048066875655</v>
      </c>
      <c r="G149" s="82">
        <v>45316</v>
      </c>
      <c r="H149" s="83">
        <v>64298</v>
      </c>
      <c r="I149" s="90">
        <v>-0.0081</v>
      </c>
    </row>
    <row r="150" spans="2:9">
      <c r="B150" s="85">
        <v>45317</v>
      </c>
      <c r="C150" s="67">
        <v>75.95</v>
      </c>
      <c r="D150" s="81">
        <f t="shared" si="2"/>
        <v>-0.0101655154437639</v>
      </c>
      <c r="G150" s="82">
        <v>45317</v>
      </c>
      <c r="H150" s="83">
        <v>63813.1</v>
      </c>
      <c r="I150" s="90">
        <v>-0.0075</v>
      </c>
    </row>
    <row r="151" spans="2:9">
      <c r="B151" s="85">
        <v>45320</v>
      </c>
      <c r="C151" s="67">
        <v>73.98</v>
      </c>
      <c r="D151" s="81">
        <f t="shared" si="2"/>
        <v>-0.0259381171823568</v>
      </c>
      <c r="G151" s="82">
        <v>45320</v>
      </c>
      <c r="H151" s="83">
        <v>62773.7</v>
      </c>
      <c r="I151" s="90">
        <v>-0.0163</v>
      </c>
    </row>
    <row r="152" spans="2:9">
      <c r="B152" s="85">
        <v>45321</v>
      </c>
      <c r="C152" s="67">
        <v>74.73</v>
      </c>
      <c r="D152" s="81">
        <f t="shared" si="2"/>
        <v>0.0101378751013788</v>
      </c>
      <c r="G152" s="82">
        <v>45321</v>
      </c>
      <c r="H152" s="83">
        <v>61841.7</v>
      </c>
      <c r="I152" s="90">
        <v>-0.0148</v>
      </c>
    </row>
    <row r="153" spans="2:9">
      <c r="B153" s="85">
        <v>45322</v>
      </c>
      <c r="C153" s="67">
        <v>75.5</v>
      </c>
      <c r="D153" s="81">
        <f t="shared" si="2"/>
        <v>0.0103037602033988</v>
      </c>
      <c r="G153" s="82">
        <v>45322</v>
      </c>
      <c r="H153" s="83">
        <v>61979.2</v>
      </c>
      <c r="I153" s="90">
        <v>0.0022</v>
      </c>
    </row>
    <row r="154" spans="2:9">
      <c r="B154" s="85">
        <v>45323</v>
      </c>
      <c r="C154" s="67">
        <v>75.93</v>
      </c>
      <c r="D154" s="81">
        <f t="shared" si="2"/>
        <v>0.00569536423841069</v>
      </c>
      <c r="G154" s="82">
        <v>45323</v>
      </c>
      <c r="H154" s="83">
        <v>62393.7</v>
      </c>
      <c r="I154" s="90">
        <v>0.0067</v>
      </c>
    </row>
    <row r="155" spans="2:9">
      <c r="B155" s="85">
        <v>45324</v>
      </c>
      <c r="C155" s="67">
        <v>75.9</v>
      </c>
      <c r="D155" s="81">
        <f t="shared" si="2"/>
        <v>-0.000395100750691441</v>
      </c>
      <c r="G155" s="82">
        <v>45324</v>
      </c>
      <c r="H155" s="83">
        <v>63002.9</v>
      </c>
      <c r="I155" s="90">
        <v>0.0098</v>
      </c>
    </row>
    <row r="156" spans="2:9">
      <c r="B156" s="85">
        <v>45328</v>
      </c>
      <c r="C156" s="67">
        <v>76.21</v>
      </c>
      <c r="D156" s="81">
        <f t="shared" si="2"/>
        <v>0.00408432147562567</v>
      </c>
      <c r="G156" s="82">
        <v>45328</v>
      </c>
      <c r="H156" s="83">
        <v>63799</v>
      </c>
      <c r="I156" s="90">
        <v>0.0126</v>
      </c>
    </row>
    <row r="157" spans="2:9">
      <c r="B157" s="85">
        <v>45329</v>
      </c>
      <c r="C157" s="67">
        <v>76.87</v>
      </c>
      <c r="D157" s="81">
        <f t="shared" si="2"/>
        <v>0.00866028080304436</v>
      </c>
      <c r="G157" s="82">
        <v>45329</v>
      </c>
      <c r="H157" s="83">
        <v>64143.9</v>
      </c>
      <c r="I157" s="90">
        <v>0.0054</v>
      </c>
    </row>
    <row r="158" spans="2:9">
      <c r="B158" s="85">
        <v>45331</v>
      </c>
      <c r="C158" s="67">
        <v>73.36</v>
      </c>
      <c r="D158" s="81">
        <f t="shared" si="2"/>
        <v>-0.0456615064394433</v>
      </c>
      <c r="G158" s="82">
        <v>45331</v>
      </c>
      <c r="H158" s="83">
        <v>62943.8</v>
      </c>
      <c r="I158" s="90">
        <v>-0.0187</v>
      </c>
    </row>
    <row r="159" spans="2:9">
      <c r="B159" s="85">
        <v>45334</v>
      </c>
      <c r="C159" s="67">
        <v>72.04</v>
      </c>
      <c r="D159" s="81">
        <f t="shared" si="2"/>
        <v>-0.0179934569247545</v>
      </c>
      <c r="G159" s="82">
        <v>45334</v>
      </c>
      <c r="H159" s="83">
        <v>61065.3</v>
      </c>
      <c r="I159" s="90">
        <v>-0.0298</v>
      </c>
    </row>
    <row r="160" spans="2:9">
      <c r="B160" s="85">
        <v>45335</v>
      </c>
      <c r="C160" s="67">
        <v>70.81</v>
      </c>
      <c r="D160" s="81">
        <f t="shared" si="2"/>
        <v>-0.0170738478622988</v>
      </c>
      <c r="G160" s="82">
        <v>45335</v>
      </c>
      <c r="H160" s="83">
        <v>61226.9</v>
      </c>
      <c r="I160" s="90">
        <v>0.0026</v>
      </c>
    </row>
    <row r="161" spans="2:9">
      <c r="B161" s="85">
        <v>45336</v>
      </c>
      <c r="C161" s="67">
        <v>72.94</v>
      </c>
      <c r="D161" s="81">
        <f t="shared" si="2"/>
        <v>0.0300804971049286</v>
      </c>
      <c r="G161" s="82">
        <v>45336</v>
      </c>
      <c r="H161" s="83">
        <v>62153.8</v>
      </c>
      <c r="I161" s="90">
        <v>0.0151</v>
      </c>
    </row>
    <row r="162" spans="2:9">
      <c r="B162" s="85">
        <v>45337</v>
      </c>
      <c r="C162" s="67">
        <v>70.85</v>
      </c>
      <c r="D162" s="81">
        <f t="shared" si="2"/>
        <v>-0.0286536879627091</v>
      </c>
      <c r="G162" s="82">
        <v>45337</v>
      </c>
      <c r="H162" s="92">
        <v>61020.1</v>
      </c>
      <c r="I162" s="90">
        <v>-0.0182</v>
      </c>
    </row>
    <row r="163" spans="2:9">
      <c r="B163" s="85">
        <v>45338</v>
      </c>
      <c r="C163" s="67">
        <v>67.73</v>
      </c>
      <c r="D163" s="81">
        <f t="shared" si="2"/>
        <v>-0.0440366972477063</v>
      </c>
      <c r="G163" s="82">
        <v>45338</v>
      </c>
      <c r="H163" s="83">
        <v>59873</v>
      </c>
      <c r="I163" s="90">
        <v>-0.0188</v>
      </c>
    </row>
    <row r="164" spans="2:9">
      <c r="B164" s="85">
        <v>45341</v>
      </c>
      <c r="C164" s="67">
        <v>69.72</v>
      </c>
      <c r="D164" s="81">
        <f t="shared" si="2"/>
        <v>0.0293813671932673</v>
      </c>
      <c r="G164" s="82">
        <v>45341</v>
      </c>
      <c r="H164" s="83">
        <v>60459.8</v>
      </c>
      <c r="I164" s="90">
        <v>0.0098</v>
      </c>
    </row>
    <row r="165" spans="2:9">
      <c r="B165" s="85">
        <v>45342</v>
      </c>
      <c r="C165" s="67">
        <v>69.89</v>
      </c>
      <c r="D165" s="81">
        <f t="shared" si="2"/>
        <v>0.00243832472748138</v>
      </c>
      <c r="G165" s="82">
        <v>45342</v>
      </c>
      <c r="H165" s="83">
        <v>60464.2</v>
      </c>
      <c r="I165" s="90">
        <v>0.0001</v>
      </c>
    </row>
    <row r="166" spans="2:9">
      <c r="B166" s="85">
        <v>45343</v>
      </c>
      <c r="C166" s="67">
        <v>69.26</v>
      </c>
      <c r="D166" s="81">
        <f t="shared" si="2"/>
        <v>-0.00901416511661175</v>
      </c>
      <c r="G166" s="82">
        <v>45343</v>
      </c>
      <c r="H166" s="83">
        <v>61559.2</v>
      </c>
      <c r="I166" s="90">
        <v>0.0181</v>
      </c>
    </row>
    <row r="167" spans="2:9">
      <c r="B167" s="85">
        <v>45344</v>
      </c>
      <c r="C167" s="67">
        <v>70.39</v>
      </c>
      <c r="D167" s="81">
        <f t="shared" si="2"/>
        <v>0.0163153335258446</v>
      </c>
      <c r="G167" s="82">
        <v>45344</v>
      </c>
      <c r="H167" s="83">
        <v>61914.3</v>
      </c>
      <c r="I167" s="90">
        <v>0.0058</v>
      </c>
    </row>
    <row r="168" spans="2:9">
      <c r="B168" s="85">
        <v>45345</v>
      </c>
      <c r="C168" s="67">
        <v>70.31</v>
      </c>
      <c r="D168" s="81">
        <f t="shared" si="2"/>
        <v>-0.00113652507458443</v>
      </c>
      <c r="G168" s="82">
        <v>45345</v>
      </c>
      <c r="H168" s="83">
        <v>62815.8</v>
      </c>
      <c r="I168" s="90">
        <v>0.0146</v>
      </c>
    </row>
    <row r="169" spans="2:9">
      <c r="B169" s="85">
        <v>45348</v>
      </c>
      <c r="C169" s="67">
        <v>70.97</v>
      </c>
      <c r="D169" s="81">
        <f t="shared" si="2"/>
        <v>0.00938700042668179</v>
      </c>
      <c r="G169" s="82">
        <v>45348</v>
      </c>
      <c r="H169" s="83">
        <v>63305.9</v>
      </c>
      <c r="I169" s="90">
        <v>0.0078</v>
      </c>
    </row>
    <row r="170" spans="2:9">
      <c r="B170" s="85">
        <v>45349</v>
      </c>
      <c r="C170" s="67">
        <v>69.98</v>
      </c>
      <c r="D170" s="81">
        <f t="shared" si="2"/>
        <v>-0.013949556150486</v>
      </c>
      <c r="G170" s="82">
        <v>45349</v>
      </c>
      <c r="H170" s="83">
        <v>63219.1</v>
      </c>
      <c r="I170" s="90">
        <v>-0.0014</v>
      </c>
    </row>
    <row r="171" spans="2:9">
      <c r="B171" s="85">
        <v>45350</v>
      </c>
      <c r="C171" s="67">
        <v>67.69</v>
      </c>
      <c r="D171" s="81">
        <f t="shared" si="2"/>
        <v>-0.0327236353243785</v>
      </c>
      <c r="G171" s="82">
        <v>45350</v>
      </c>
      <c r="H171" s="83">
        <v>63703.5</v>
      </c>
      <c r="I171" s="90">
        <v>0.0077</v>
      </c>
    </row>
    <row r="172" spans="2:9">
      <c r="B172" s="85">
        <v>45351</v>
      </c>
      <c r="C172" s="67">
        <v>69.11</v>
      </c>
      <c r="D172" s="81">
        <f t="shared" si="2"/>
        <v>0.0209779878859507</v>
      </c>
      <c r="G172" s="82">
        <v>45351</v>
      </c>
      <c r="H172" s="83">
        <v>64578.5</v>
      </c>
      <c r="I172" s="90">
        <v>0.0137</v>
      </c>
    </row>
    <row r="173" spans="2:9">
      <c r="B173" s="85">
        <v>45352</v>
      </c>
      <c r="C173" s="67">
        <v>68.21</v>
      </c>
      <c r="D173" s="81">
        <f t="shared" si="2"/>
        <v>-0.0130227174070324</v>
      </c>
      <c r="G173" s="82">
        <v>45352</v>
      </c>
      <c r="H173" s="83">
        <v>65325.7</v>
      </c>
      <c r="I173" s="90">
        <v>0.0116</v>
      </c>
    </row>
    <row r="174" spans="2:9">
      <c r="B174" s="85">
        <v>45355</v>
      </c>
      <c r="C174" s="67">
        <v>68.73</v>
      </c>
      <c r="D174" s="81">
        <f t="shared" si="2"/>
        <v>0.00762351561354655</v>
      </c>
      <c r="G174" s="82">
        <v>45355</v>
      </c>
      <c r="H174" s="83">
        <v>65951.7</v>
      </c>
      <c r="I174" s="90">
        <v>0.0096</v>
      </c>
    </row>
    <row r="175" spans="2:9">
      <c r="B175" s="85">
        <v>45356</v>
      </c>
      <c r="C175" s="67">
        <v>68.52</v>
      </c>
      <c r="D175" s="81">
        <f t="shared" si="2"/>
        <v>-0.00305543430816249</v>
      </c>
      <c r="G175" s="82">
        <v>45356</v>
      </c>
      <c r="H175" s="83">
        <v>65726</v>
      </c>
      <c r="I175" s="90">
        <v>-0.0034</v>
      </c>
    </row>
    <row r="176" spans="2:9">
      <c r="B176" s="85">
        <v>45357</v>
      </c>
      <c r="C176" s="67">
        <v>67.75</v>
      </c>
      <c r="D176" s="81">
        <f t="shared" si="2"/>
        <v>-0.0112375948628137</v>
      </c>
      <c r="G176" s="82">
        <v>45357</v>
      </c>
      <c r="H176" s="83">
        <v>65656.6</v>
      </c>
      <c r="I176" s="90">
        <v>-0.0011</v>
      </c>
    </row>
    <row r="177" spans="2:9">
      <c r="B177" s="85">
        <v>45358</v>
      </c>
      <c r="C177" s="67">
        <v>67.49</v>
      </c>
      <c r="D177" s="81">
        <f t="shared" si="2"/>
        <v>-0.00383763837638384</v>
      </c>
      <c r="G177" s="82">
        <v>45358</v>
      </c>
      <c r="H177" s="83">
        <v>65603.1</v>
      </c>
      <c r="I177" s="90">
        <v>-0.0008</v>
      </c>
    </row>
    <row r="178" spans="2:9">
      <c r="B178" s="85">
        <v>45359</v>
      </c>
      <c r="C178" s="67">
        <v>68.14</v>
      </c>
      <c r="D178" s="81">
        <f t="shared" si="2"/>
        <v>0.00963105645280791</v>
      </c>
      <c r="G178" s="82">
        <v>45359</v>
      </c>
      <c r="H178" s="83">
        <v>65793.8</v>
      </c>
      <c r="I178" s="90">
        <v>0.0029</v>
      </c>
    </row>
    <row r="179" spans="2:9">
      <c r="B179" s="85">
        <v>45362</v>
      </c>
      <c r="C179" s="67">
        <v>69.13</v>
      </c>
      <c r="D179" s="81">
        <f t="shared" si="2"/>
        <v>0.0145289110654534</v>
      </c>
      <c r="G179" s="82">
        <v>45362</v>
      </c>
      <c r="H179" s="83">
        <v>65755.3</v>
      </c>
      <c r="I179" s="90">
        <v>-0.0006</v>
      </c>
    </row>
    <row r="180" spans="2:9">
      <c r="B180" s="85">
        <v>45363</v>
      </c>
      <c r="C180" s="67">
        <v>67.96</v>
      </c>
      <c r="D180" s="81">
        <f t="shared" si="2"/>
        <v>-0.0169246347461305</v>
      </c>
      <c r="G180" s="82">
        <v>45363</v>
      </c>
      <c r="H180" s="83">
        <v>64801.7</v>
      </c>
      <c r="I180" s="90">
        <v>-0.0145</v>
      </c>
    </row>
    <row r="181" spans="2:9">
      <c r="B181" s="85">
        <v>45364</v>
      </c>
      <c r="C181" s="67">
        <v>67.26</v>
      </c>
      <c r="D181" s="81">
        <f t="shared" si="2"/>
        <v>-0.0103001765744554</v>
      </c>
      <c r="G181" s="82">
        <v>45364</v>
      </c>
      <c r="H181" s="83">
        <v>64048.4</v>
      </c>
      <c r="I181" s="90">
        <v>-0.0116</v>
      </c>
    </row>
    <row r="182" spans="2:9">
      <c r="B182" s="85">
        <v>45365</v>
      </c>
      <c r="C182" s="67">
        <v>67.56</v>
      </c>
      <c r="D182" s="81">
        <f t="shared" si="2"/>
        <v>0.0044603033006244</v>
      </c>
      <c r="G182" s="82">
        <v>45365</v>
      </c>
      <c r="H182" s="83">
        <v>65064.3</v>
      </c>
      <c r="I182" s="90">
        <v>0.0159</v>
      </c>
    </row>
    <row r="183" spans="2:9">
      <c r="B183" s="85">
        <v>45366</v>
      </c>
      <c r="C183" s="67">
        <v>66.62</v>
      </c>
      <c r="D183" s="81">
        <f t="shared" si="2"/>
        <v>-0.0139135583185316</v>
      </c>
      <c r="G183" s="82">
        <v>45366</v>
      </c>
      <c r="H183" s="83">
        <v>64816.5</v>
      </c>
      <c r="I183" s="90">
        <v>-0.0038</v>
      </c>
    </row>
    <row r="184" spans="2:9">
      <c r="B184" s="85">
        <v>45369</v>
      </c>
      <c r="C184" s="67">
        <v>66.92</v>
      </c>
      <c r="D184" s="81">
        <f t="shared" si="2"/>
        <v>0.00450315220654454</v>
      </c>
      <c r="G184" s="82">
        <v>45369</v>
      </c>
      <c r="H184" s="83">
        <v>64890.5</v>
      </c>
      <c r="I184" s="90">
        <v>0.0011</v>
      </c>
    </row>
    <row r="185" spans="2:9">
      <c r="B185" s="85">
        <v>45370</v>
      </c>
      <c r="C185" s="67">
        <v>66.51</v>
      </c>
      <c r="D185" s="81">
        <f t="shared" si="2"/>
        <v>-0.00612671846981465</v>
      </c>
      <c r="G185" s="82">
        <v>45370</v>
      </c>
      <c r="H185" s="83">
        <v>65502.6</v>
      </c>
      <c r="I185" s="90">
        <v>0.0094</v>
      </c>
    </row>
    <row r="186" spans="2:9">
      <c r="B186" s="85">
        <v>45371</v>
      </c>
      <c r="C186" s="67">
        <v>65.54</v>
      </c>
      <c r="D186" s="81">
        <f t="shared" si="2"/>
        <v>-0.0145842730416479</v>
      </c>
      <c r="G186" s="82">
        <v>45371</v>
      </c>
      <c r="H186" s="83">
        <v>65731.8</v>
      </c>
      <c r="I186" s="90">
        <v>0.0035</v>
      </c>
    </row>
    <row r="187" spans="2:9">
      <c r="B187" s="85">
        <v>45372</v>
      </c>
      <c r="C187" s="67">
        <v>64.47</v>
      </c>
      <c r="D187" s="81">
        <f t="shared" si="2"/>
        <v>-0.016325907842539</v>
      </c>
      <c r="G187" s="82">
        <v>45372</v>
      </c>
      <c r="H187" s="83">
        <v>65417.4</v>
      </c>
      <c r="I187" s="90">
        <v>-0.0048</v>
      </c>
    </row>
    <row r="188" spans="2:9">
      <c r="B188" s="85">
        <v>45373</v>
      </c>
      <c r="C188" s="67">
        <v>64.18</v>
      </c>
      <c r="D188" s="81">
        <f t="shared" si="2"/>
        <v>-0.00449821622460047</v>
      </c>
      <c r="G188" s="82">
        <v>45373</v>
      </c>
      <c r="H188" s="83">
        <v>65151.8</v>
      </c>
      <c r="I188" s="90">
        <v>-0.0041</v>
      </c>
    </row>
    <row r="189" spans="2:9">
      <c r="B189" s="85">
        <v>45376</v>
      </c>
      <c r="C189" s="67">
        <v>64.63</v>
      </c>
      <c r="D189" s="81">
        <f t="shared" si="2"/>
        <v>0.00701153007167324</v>
      </c>
      <c r="G189" s="82">
        <v>45376</v>
      </c>
      <c r="H189" s="83">
        <v>65525.7</v>
      </c>
      <c r="I189" s="90">
        <v>0.0057</v>
      </c>
    </row>
    <row r="190" spans="2:9">
      <c r="B190" s="85">
        <v>45377</v>
      </c>
      <c r="C190" s="67">
        <v>66.07</v>
      </c>
      <c r="D190" s="81">
        <f t="shared" si="2"/>
        <v>0.0222806746093145</v>
      </c>
      <c r="G190" s="82">
        <v>45377</v>
      </c>
      <c r="H190" s="83">
        <v>65906.3</v>
      </c>
      <c r="I190" s="90">
        <v>0.0058</v>
      </c>
    </row>
    <row r="191" spans="2:9">
      <c r="B191" s="85">
        <v>45378</v>
      </c>
      <c r="C191" s="67">
        <v>66.5</v>
      </c>
      <c r="D191" s="81">
        <f t="shared" si="2"/>
        <v>0.00650824882700177</v>
      </c>
      <c r="G191" s="82">
        <v>45378</v>
      </c>
      <c r="H191" s="83">
        <v>66547.8</v>
      </c>
      <c r="I191" s="90">
        <v>0.0097</v>
      </c>
    </row>
    <row r="192" spans="2:9">
      <c r="B192" s="85">
        <v>45379</v>
      </c>
      <c r="C192" s="67">
        <v>67.26</v>
      </c>
      <c r="D192" s="81">
        <f t="shared" si="2"/>
        <v>0.0114285714285715</v>
      </c>
      <c r="G192" s="82">
        <v>45379</v>
      </c>
      <c r="H192" s="83">
        <v>67142.1</v>
      </c>
      <c r="I192" s="90">
        <v>0.0089</v>
      </c>
    </row>
    <row r="193" spans="2:9">
      <c r="B193" s="85">
        <v>45380</v>
      </c>
      <c r="C193" s="67">
        <v>66.33</v>
      </c>
      <c r="D193" s="81">
        <f t="shared" si="2"/>
        <v>-0.0138269402319359</v>
      </c>
      <c r="G193" s="82">
        <v>45380</v>
      </c>
      <c r="H193" s="83">
        <v>67005.1</v>
      </c>
      <c r="I193" s="90">
        <v>-0.002</v>
      </c>
    </row>
    <row r="194" spans="2:9">
      <c r="B194" s="85">
        <v>45383</v>
      </c>
      <c r="C194" s="67">
        <v>66.24</v>
      </c>
      <c r="D194" s="81">
        <f t="shared" si="2"/>
        <v>-0.00135685210312081</v>
      </c>
      <c r="G194" s="82">
        <v>45383</v>
      </c>
      <c r="H194" s="83">
        <v>66796.3</v>
      </c>
      <c r="I194" s="90">
        <v>-0.0031</v>
      </c>
    </row>
    <row r="195" spans="2:9">
      <c r="B195" s="85">
        <v>45384</v>
      </c>
      <c r="C195" s="67">
        <v>65.7</v>
      </c>
      <c r="D195" s="81">
        <f t="shared" si="2"/>
        <v>-0.00815217391304336</v>
      </c>
      <c r="G195" s="82">
        <v>45384</v>
      </c>
      <c r="H195" s="83">
        <v>66886.3</v>
      </c>
      <c r="I195" s="90">
        <v>0.0013</v>
      </c>
    </row>
    <row r="196" spans="2:9">
      <c r="B196" s="85">
        <v>45385</v>
      </c>
      <c r="C196" s="67">
        <v>65.51</v>
      </c>
      <c r="D196" s="81">
        <f t="shared" si="2"/>
        <v>-0.0028919330289193</v>
      </c>
      <c r="G196" s="82">
        <v>45385</v>
      </c>
      <c r="H196" s="83">
        <v>67756</v>
      </c>
      <c r="I196" s="90">
        <v>0.013</v>
      </c>
    </row>
    <row r="197" spans="2:9">
      <c r="B197" s="85">
        <v>45386</v>
      </c>
      <c r="C197" s="67">
        <v>67.18</v>
      </c>
      <c r="D197" s="81">
        <f t="shared" si="2"/>
        <v>0.0254922912532438</v>
      </c>
      <c r="G197" s="82">
        <v>45386</v>
      </c>
      <c r="H197" s="83">
        <v>68416.8</v>
      </c>
      <c r="I197" s="90">
        <v>0.0098</v>
      </c>
    </row>
    <row r="198" spans="2:9">
      <c r="B198" s="85">
        <v>45390</v>
      </c>
      <c r="C198" s="67">
        <v>67.61</v>
      </c>
      <c r="D198" s="81">
        <f t="shared" si="2"/>
        <v>0.0064007144983625</v>
      </c>
      <c r="G198" s="82">
        <v>45390</v>
      </c>
      <c r="H198" s="83">
        <v>69620</v>
      </c>
      <c r="I198" s="90">
        <v>0.0176</v>
      </c>
    </row>
    <row r="199" spans="2:9">
      <c r="B199" s="85">
        <v>45391</v>
      </c>
      <c r="C199" s="67">
        <v>67.95</v>
      </c>
      <c r="D199" s="81">
        <f t="shared" si="2"/>
        <v>0.00502884188729483</v>
      </c>
      <c r="G199" s="82">
        <v>45391</v>
      </c>
      <c r="H199" s="83">
        <v>70314.7</v>
      </c>
      <c r="I199" s="90">
        <v>0.01</v>
      </c>
    </row>
    <row r="200" spans="2:9">
      <c r="B200" s="85">
        <v>45397</v>
      </c>
      <c r="C200" s="67">
        <v>67.09</v>
      </c>
      <c r="D200" s="81">
        <f t="shared" ref="D200:D249" si="3">(C200-C199)/C199</f>
        <v>-0.0126563649742458</v>
      </c>
      <c r="G200" s="82">
        <v>45397</v>
      </c>
      <c r="H200" s="83">
        <v>70544.6</v>
      </c>
      <c r="I200" s="90">
        <v>0.0033</v>
      </c>
    </row>
    <row r="201" spans="2:9">
      <c r="B201" s="85">
        <v>45398</v>
      </c>
      <c r="C201" s="67">
        <v>69.38</v>
      </c>
      <c r="D201" s="81">
        <f t="shared" si="3"/>
        <v>0.0341332538381278</v>
      </c>
      <c r="G201" s="82">
        <v>45398</v>
      </c>
      <c r="H201" s="83">
        <v>70483.7</v>
      </c>
      <c r="I201" s="90">
        <v>-0.0009</v>
      </c>
    </row>
    <row r="202" spans="2:9">
      <c r="B202" s="85">
        <v>45399</v>
      </c>
      <c r="C202" s="67">
        <v>69.79</v>
      </c>
      <c r="D202" s="81">
        <f t="shared" si="3"/>
        <v>0.00590948400115323</v>
      </c>
      <c r="G202" s="82">
        <v>45399</v>
      </c>
      <c r="H202" s="83">
        <v>70333.3</v>
      </c>
      <c r="I202" s="90">
        <v>-0.0021</v>
      </c>
    </row>
    <row r="203" spans="2:9">
      <c r="B203" s="85">
        <v>45400</v>
      </c>
      <c r="C203" s="67">
        <v>70.06</v>
      </c>
      <c r="D203" s="81">
        <f t="shared" si="3"/>
        <v>0.00386874910445617</v>
      </c>
      <c r="G203" s="82">
        <v>45400</v>
      </c>
      <c r="H203" s="83">
        <v>70290.1</v>
      </c>
      <c r="I203" s="90">
        <v>-0.0006</v>
      </c>
    </row>
    <row r="204" spans="2:9">
      <c r="B204" s="85">
        <v>45401</v>
      </c>
      <c r="C204" s="67">
        <v>69.87</v>
      </c>
      <c r="D204" s="81">
        <f t="shared" si="3"/>
        <v>-0.00271196117613471</v>
      </c>
      <c r="G204" s="82">
        <v>45401</v>
      </c>
      <c r="H204" s="83">
        <v>70909.9</v>
      </c>
      <c r="I204" s="90">
        <v>0.0088</v>
      </c>
    </row>
    <row r="205" spans="2:9">
      <c r="B205" s="85">
        <v>45404</v>
      </c>
      <c r="C205" s="67">
        <v>71.7</v>
      </c>
      <c r="D205" s="81">
        <f t="shared" si="3"/>
        <v>0.0261914984972091</v>
      </c>
      <c r="G205" s="82">
        <v>45404</v>
      </c>
      <c r="H205" s="83">
        <v>71433.5</v>
      </c>
      <c r="I205" s="90">
        <v>0.0074</v>
      </c>
    </row>
    <row r="206" spans="2:9">
      <c r="B206" s="85">
        <v>45405</v>
      </c>
      <c r="C206" s="67">
        <v>73.13</v>
      </c>
      <c r="D206" s="81">
        <f t="shared" si="3"/>
        <v>0.0199442119944211</v>
      </c>
      <c r="G206" s="82">
        <v>45405</v>
      </c>
      <c r="H206" s="83">
        <v>71359.4</v>
      </c>
      <c r="I206" s="90">
        <v>-0.001</v>
      </c>
    </row>
    <row r="207" spans="2:9">
      <c r="B207" s="85">
        <v>45406</v>
      </c>
      <c r="C207" s="67">
        <v>74.22</v>
      </c>
      <c r="D207" s="81">
        <f t="shared" si="3"/>
        <v>0.0149049637631615</v>
      </c>
      <c r="G207" s="82">
        <v>45406</v>
      </c>
      <c r="H207" s="83">
        <v>72051.9</v>
      </c>
      <c r="I207" s="90">
        <v>0.0097</v>
      </c>
    </row>
    <row r="208" spans="2:9">
      <c r="B208" s="85">
        <v>45407</v>
      </c>
      <c r="C208" s="67">
        <v>73.69</v>
      </c>
      <c r="D208" s="81">
        <f t="shared" si="3"/>
        <v>-0.00714093236324442</v>
      </c>
      <c r="G208" s="82">
        <v>45407</v>
      </c>
      <c r="H208" s="83">
        <v>71971.4</v>
      </c>
      <c r="I208" s="90">
        <v>-0.0011</v>
      </c>
    </row>
    <row r="209" spans="2:9">
      <c r="B209" s="85">
        <v>45408</v>
      </c>
      <c r="C209" s="67">
        <v>72.6</v>
      </c>
      <c r="D209" s="81">
        <f t="shared" si="3"/>
        <v>-0.0147916949382549</v>
      </c>
      <c r="G209" s="82">
        <v>45408</v>
      </c>
      <c r="H209" s="83">
        <v>72742.8</v>
      </c>
      <c r="I209" s="90">
        <v>0.0107</v>
      </c>
    </row>
    <row r="210" spans="2:9">
      <c r="B210" s="85">
        <v>45411</v>
      </c>
      <c r="C210" s="67">
        <v>68.32</v>
      </c>
      <c r="D210" s="81">
        <f t="shared" si="3"/>
        <v>-0.0589531680440772</v>
      </c>
      <c r="G210" s="82">
        <v>45411</v>
      </c>
      <c r="H210" s="83">
        <v>71695</v>
      </c>
      <c r="I210" s="90">
        <v>-0.0144</v>
      </c>
    </row>
    <row r="211" spans="2:9">
      <c r="B211" s="85">
        <v>45412</v>
      </c>
      <c r="C211" s="67">
        <v>67.51</v>
      </c>
      <c r="D211" s="81">
        <f t="shared" si="3"/>
        <v>-0.0118559718969553</v>
      </c>
      <c r="G211" s="82">
        <v>45412</v>
      </c>
      <c r="H211" s="83">
        <v>71102.6</v>
      </c>
      <c r="I211" s="90">
        <v>-0.0083</v>
      </c>
    </row>
    <row r="212" spans="2:9">
      <c r="B212" s="85">
        <v>45414</v>
      </c>
      <c r="C212" s="67">
        <v>68.03</v>
      </c>
      <c r="D212" s="81">
        <f t="shared" si="3"/>
        <v>0.00770256258332093</v>
      </c>
      <c r="G212" s="82">
        <v>45414</v>
      </c>
      <c r="H212" s="83">
        <v>70657.6</v>
      </c>
      <c r="I212" s="90">
        <v>-0.0063</v>
      </c>
    </row>
    <row r="213" spans="2:9">
      <c r="B213" s="85">
        <v>45415</v>
      </c>
      <c r="C213" s="67">
        <v>70.43</v>
      </c>
      <c r="D213" s="81">
        <f t="shared" si="3"/>
        <v>0.0352785535793033</v>
      </c>
      <c r="G213" s="82">
        <v>45415</v>
      </c>
      <c r="H213" s="83">
        <v>71902.1</v>
      </c>
      <c r="I213" s="90">
        <v>0.0176</v>
      </c>
    </row>
    <row r="214" spans="2:9">
      <c r="B214" s="85">
        <v>45418</v>
      </c>
      <c r="C214" s="67">
        <v>71.68</v>
      </c>
      <c r="D214" s="81">
        <f t="shared" si="3"/>
        <v>0.0177481186994179</v>
      </c>
      <c r="G214" s="82">
        <v>45418</v>
      </c>
      <c r="H214" s="83">
        <v>72764.2</v>
      </c>
      <c r="I214" s="90">
        <v>0.012</v>
      </c>
    </row>
    <row r="215" spans="2:9">
      <c r="B215" s="85">
        <v>45419</v>
      </c>
      <c r="C215" s="67">
        <v>70.8</v>
      </c>
      <c r="D215" s="81">
        <f t="shared" si="3"/>
        <v>-0.0122767857142858</v>
      </c>
      <c r="G215" s="82">
        <v>45419</v>
      </c>
      <c r="H215" s="83">
        <v>72761.2</v>
      </c>
      <c r="I215" s="90">
        <v>0</v>
      </c>
    </row>
    <row r="216" spans="2:9">
      <c r="B216" s="85">
        <v>45420</v>
      </c>
      <c r="C216" s="67">
        <v>69.61</v>
      </c>
      <c r="D216" s="81">
        <f t="shared" si="3"/>
        <v>-0.0168079096045197</v>
      </c>
      <c r="G216" s="82">
        <v>45420</v>
      </c>
      <c r="H216" s="83">
        <v>72601.8</v>
      </c>
      <c r="I216" s="90">
        <v>-0.0022</v>
      </c>
    </row>
    <row r="217" spans="2:9">
      <c r="B217" s="85">
        <v>45421</v>
      </c>
      <c r="C217" s="67">
        <v>69.53</v>
      </c>
      <c r="D217" s="81">
        <f t="shared" si="3"/>
        <v>-0.00114926016376955</v>
      </c>
      <c r="G217" s="82">
        <v>45421</v>
      </c>
      <c r="H217" s="83">
        <v>72658.1</v>
      </c>
      <c r="I217" s="90">
        <v>0.0008</v>
      </c>
    </row>
    <row r="218" spans="2:9">
      <c r="B218" s="85">
        <v>45422</v>
      </c>
      <c r="C218" s="67">
        <v>73.48</v>
      </c>
      <c r="D218" s="81">
        <f t="shared" si="3"/>
        <v>0.0568100100675968</v>
      </c>
      <c r="G218" s="82">
        <v>45422</v>
      </c>
      <c r="H218" s="83">
        <v>73085.5</v>
      </c>
      <c r="I218" s="90">
        <v>0.0059</v>
      </c>
    </row>
    <row r="219" spans="2:9">
      <c r="B219" s="85">
        <v>45425</v>
      </c>
      <c r="C219" s="67">
        <v>74.03</v>
      </c>
      <c r="D219" s="81">
        <f t="shared" si="3"/>
        <v>0.00748502994011972</v>
      </c>
      <c r="G219" s="82">
        <v>45425</v>
      </c>
      <c r="H219" s="83">
        <v>73799.1</v>
      </c>
      <c r="I219" s="90">
        <v>0.0098</v>
      </c>
    </row>
    <row r="220" spans="2:9">
      <c r="B220" s="85">
        <v>45426</v>
      </c>
      <c r="C220" s="67">
        <v>72.99</v>
      </c>
      <c r="D220" s="81">
        <f t="shared" si="3"/>
        <v>-0.0140483587734703</v>
      </c>
      <c r="G220" s="82">
        <v>45426</v>
      </c>
      <c r="H220" s="83">
        <v>74531.2</v>
      </c>
      <c r="I220" s="90">
        <v>0.0099</v>
      </c>
    </row>
    <row r="221" spans="2:9">
      <c r="B221" s="85">
        <v>45427</v>
      </c>
      <c r="C221" s="67">
        <v>70.54</v>
      </c>
      <c r="D221" s="81">
        <f t="shared" si="3"/>
        <v>-0.033566241950952</v>
      </c>
      <c r="G221" s="82">
        <v>45427</v>
      </c>
      <c r="H221" s="83">
        <v>74664</v>
      </c>
      <c r="I221" s="90">
        <v>0.0018</v>
      </c>
    </row>
    <row r="222" spans="2:9">
      <c r="B222" s="85">
        <v>45428</v>
      </c>
      <c r="C222" s="67">
        <v>72.22</v>
      </c>
      <c r="D222" s="81">
        <f t="shared" si="3"/>
        <v>0.0238162744542103</v>
      </c>
      <c r="G222" s="82">
        <v>45428</v>
      </c>
      <c r="H222" s="83">
        <v>74930.7</v>
      </c>
      <c r="I222" s="90">
        <v>0.0036</v>
      </c>
    </row>
    <row r="223" spans="2:9">
      <c r="B223" s="85">
        <v>45429</v>
      </c>
      <c r="C223" s="67">
        <v>72.69</v>
      </c>
      <c r="D223" s="81">
        <f t="shared" si="3"/>
        <v>0.00650789255054</v>
      </c>
      <c r="G223" s="82">
        <v>45429</v>
      </c>
      <c r="H223" s="83">
        <v>75342.4</v>
      </c>
      <c r="I223" s="90">
        <v>0.0055</v>
      </c>
    </row>
    <row r="224" spans="2:9">
      <c r="B224" s="85">
        <v>45432</v>
      </c>
      <c r="C224" s="67">
        <v>73</v>
      </c>
      <c r="D224" s="81">
        <f t="shared" si="3"/>
        <v>0.00426468565139637</v>
      </c>
      <c r="G224" s="82">
        <v>45432</v>
      </c>
      <c r="H224" s="83">
        <v>75084</v>
      </c>
      <c r="I224" s="90">
        <v>-0.0034</v>
      </c>
    </row>
    <row r="225" spans="2:9">
      <c r="B225" s="85">
        <v>45433</v>
      </c>
      <c r="C225" s="67">
        <v>72.11</v>
      </c>
      <c r="D225" s="81">
        <f t="shared" si="3"/>
        <v>-0.0121917808219178</v>
      </c>
      <c r="G225" s="82">
        <v>45433</v>
      </c>
      <c r="H225" s="83">
        <v>75206.8</v>
      </c>
      <c r="I225" s="90">
        <v>0.0016</v>
      </c>
    </row>
    <row r="226" spans="2:9">
      <c r="B226" s="85">
        <v>45434</v>
      </c>
      <c r="C226" s="67">
        <v>73.21</v>
      </c>
      <c r="D226" s="81">
        <f t="shared" si="3"/>
        <v>0.0152544723339342</v>
      </c>
      <c r="G226" s="82">
        <v>45434</v>
      </c>
      <c r="H226" s="83">
        <v>74956.7</v>
      </c>
      <c r="I226" s="90">
        <v>-0.0033</v>
      </c>
    </row>
    <row r="227" spans="2:9">
      <c r="B227" s="85">
        <v>45435</v>
      </c>
      <c r="C227" s="67">
        <v>72.53</v>
      </c>
      <c r="D227" s="81">
        <f t="shared" si="3"/>
        <v>-0.00928834858625861</v>
      </c>
      <c r="G227" s="82">
        <v>45435</v>
      </c>
      <c r="H227" s="83">
        <v>75114.5</v>
      </c>
      <c r="I227" s="90">
        <v>0.0021</v>
      </c>
    </row>
    <row r="228" spans="2:9">
      <c r="B228" s="85">
        <v>45436</v>
      </c>
      <c r="C228" s="67">
        <v>75.53</v>
      </c>
      <c r="D228" s="81">
        <f t="shared" si="3"/>
        <v>0.0413621949538122</v>
      </c>
      <c r="G228" s="82">
        <v>45436</v>
      </c>
      <c r="H228" s="83">
        <v>75983</v>
      </c>
      <c r="I228" s="90">
        <v>0.0116</v>
      </c>
    </row>
    <row r="229" spans="2:9">
      <c r="B229" s="85">
        <v>45439</v>
      </c>
      <c r="C229" s="67">
        <v>74.86</v>
      </c>
      <c r="D229" s="81">
        <f t="shared" si="3"/>
        <v>-0.00887064742486431</v>
      </c>
      <c r="G229" s="82">
        <v>45439</v>
      </c>
      <c r="H229" s="83">
        <v>75517.5</v>
      </c>
      <c r="I229" s="90">
        <v>-0.0061</v>
      </c>
    </row>
    <row r="230" spans="2:9">
      <c r="B230" s="85">
        <v>45441</v>
      </c>
      <c r="C230" s="67">
        <v>73.48</v>
      </c>
      <c r="D230" s="81">
        <f t="shared" si="3"/>
        <v>-0.0184344109003473</v>
      </c>
      <c r="G230" s="82">
        <v>45441</v>
      </c>
      <c r="H230" s="83">
        <v>74836.3</v>
      </c>
      <c r="I230" s="90">
        <v>-0.009</v>
      </c>
    </row>
    <row r="231" spans="2:9">
      <c r="B231" s="85">
        <v>45442</v>
      </c>
      <c r="C231" s="67">
        <v>72.09</v>
      </c>
      <c r="D231" s="81">
        <f t="shared" si="3"/>
        <v>-0.0189167120304845</v>
      </c>
      <c r="G231" s="82">
        <v>45442</v>
      </c>
      <c r="H231" s="83">
        <v>74878.1</v>
      </c>
      <c r="I231" s="90">
        <v>0.0006</v>
      </c>
    </row>
    <row r="232" spans="2:9">
      <c r="B232" s="85">
        <v>45443</v>
      </c>
      <c r="C232" s="67">
        <v>73.15</v>
      </c>
      <c r="D232" s="81">
        <f t="shared" si="3"/>
        <v>0.0147038424191983</v>
      </c>
      <c r="G232" s="82">
        <v>45443</v>
      </c>
      <c r="H232" s="83">
        <v>75878.5</v>
      </c>
      <c r="I232" s="90">
        <v>0.0134</v>
      </c>
    </row>
    <row r="233" spans="2:9">
      <c r="B233" s="85">
        <v>45446</v>
      </c>
      <c r="C233" s="67">
        <v>72.76</v>
      </c>
      <c r="D233" s="81">
        <f t="shared" si="3"/>
        <v>-0.0053315105946685</v>
      </c>
      <c r="G233" s="82">
        <v>45446</v>
      </c>
      <c r="H233" s="83">
        <v>75575.3</v>
      </c>
      <c r="I233" s="90">
        <v>-0.004</v>
      </c>
    </row>
    <row r="234" spans="2:9">
      <c r="B234" s="85">
        <v>45447</v>
      </c>
      <c r="C234" s="67">
        <v>71.09</v>
      </c>
      <c r="D234" s="81">
        <f t="shared" si="3"/>
        <v>-0.0229521715228148</v>
      </c>
      <c r="G234" s="82">
        <v>45447</v>
      </c>
      <c r="H234" s="83">
        <v>74666.7</v>
      </c>
      <c r="I234" s="90">
        <v>-0.012</v>
      </c>
    </row>
    <row r="235" spans="2:9">
      <c r="B235" s="85">
        <v>45448</v>
      </c>
      <c r="C235" s="67">
        <v>69.5</v>
      </c>
      <c r="D235" s="81">
        <f t="shared" si="3"/>
        <v>-0.0223660149106767</v>
      </c>
      <c r="G235" s="82">
        <v>45448</v>
      </c>
      <c r="H235" s="83">
        <v>74219.4</v>
      </c>
      <c r="I235" s="90">
        <v>-0.006</v>
      </c>
    </row>
    <row r="236" spans="2:9">
      <c r="B236" s="85">
        <v>45449</v>
      </c>
      <c r="C236" s="67">
        <v>69.47</v>
      </c>
      <c r="D236" s="81">
        <f t="shared" si="3"/>
        <v>-0.000431654676259009</v>
      </c>
      <c r="G236" s="82">
        <v>45449</v>
      </c>
      <c r="H236" s="83">
        <v>73862.9</v>
      </c>
      <c r="I236" s="90">
        <v>-0.0048</v>
      </c>
    </row>
    <row r="237" spans="2:9">
      <c r="B237" s="85">
        <v>45450</v>
      </c>
      <c r="C237" s="67">
        <v>70.26</v>
      </c>
      <c r="D237" s="81">
        <f t="shared" si="3"/>
        <v>0.0113718151720168</v>
      </c>
      <c r="G237" s="82">
        <v>45450</v>
      </c>
      <c r="H237" s="83">
        <v>73754</v>
      </c>
      <c r="I237" s="90">
        <v>-0.0015</v>
      </c>
    </row>
    <row r="238" spans="2:9">
      <c r="B238" s="85">
        <v>45453</v>
      </c>
      <c r="C238" s="67">
        <v>70.57</v>
      </c>
      <c r="D238" s="81">
        <f t="shared" si="3"/>
        <v>0.00441218331910031</v>
      </c>
      <c r="G238" s="82">
        <v>45453</v>
      </c>
      <c r="H238" s="83">
        <v>73252.6</v>
      </c>
      <c r="I238" s="90">
        <v>-0.0068</v>
      </c>
    </row>
    <row r="239" spans="2:9">
      <c r="B239" s="85">
        <v>45454</v>
      </c>
      <c r="C239" s="67">
        <v>71.45</v>
      </c>
      <c r="D239" s="81">
        <f t="shared" si="3"/>
        <v>0.0124698880544142</v>
      </c>
      <c r="G239" s="82">
        <v>45454</v>
      </c>
      <c r="H239" s="83">
        <v>72589.5</v>
      </c>
      <c r="I239" s="90">
        <v>-0.0091</v>
      </c>
    </row>
    <row r="240" spans="2:9">
      <c r="B240" s="85">
        <v>45455</v>
      </c>
      <c r="C240" s="67">
        <v>71.42</v>
      </c>
      <c r="D240" s="81">
        <f t="shared" si="3"/>
        <v>-0.000419874037788679</v>
      </c>
      <c r="G240" s="82">
        <v>45455</v>
      </c>
      <c r="H240" s="83">
        <v>72797.4</v>
      </c>
      <c r="I240" s="90">
        <v>0.0029</v>
      </c>
    </row>
    <row r="241" spans="2:9">
      <c r="B241" s="85">
        <v>45456</v>
      </c>
      <c r="C241" s="67">
        <v>71.05</v>
      </c>
      <c r="D241" s="81">
        <f t="shared" si="3"/>
        <v>-0.00518062167460102</v>
      </c>
      <c r="G241" s="82">
        <v>45456</v>
      </c>
      <c r="H241" s="83">
        <v>76208.2</v>
      </c>
      <c r="I241" s="90">
        <v>0.0469</v>
      </c>
    </row>
    <row r="242" spans="2:9">
      <c r="B242" s="85">
        <v>45457</v>
      </c>
      <c r="C242" s="67">
        <v>72.46</v>
      </c>
      <c r="D242" s="81">
        <f t="shared" si="3"/>
        <v>0.0198451794510907</v>
      </c>
      <c r="G242" s="82">
        <v>45457</v>
      </c>
      <c r="H242" s="83">
        <v>76706.8</v>
      </c>
      <c r="I242" s="90">
        <v>0.0065</v>
      </c>
    </row>
    <row r="243" spans="2:9">
      <c r="B243" s="85">
        <v>45463</v>
      </c>
      <c r="C243" s="67">
        <v>73.13</v>
      </c>
      <c r="D243" s="81">
        <f t="shared" si="3"/>
        <v>0.00924648081700251</v>
      </c>
      <c r="G243" s="82">
        <v>45463</v>
      </c>
      <c r="H243" s="83">
        <v>78801.5</v>
      </c>
      <c r="I243" s="90">
        <v>0.0273</v>
      </c>
    </row>
    <row r="244" spans="2:9">
      <c r="B244" s="85">
        <v>45464</v>
      </c>
      <c r="C244" s="67">
        <v>72.46</v>
      </c>
      <c r="D244" s="81">
        <f t="shared" si="3"/>
        <v>-0.00916176671680571</v>
      </c>
      <c r="G244" s="82">
        <v>45464</v>
      </c>
      <c r="H244" s="83">
        <v>78810.5</v>
      </c>
      <c r="I244" s="90">
        <v>0.0001</v>
      </c>
    </row>
    <row r="245" spans="2:9">
      <c r="B245" s="85">
        <v>45467</v>
      </c>
      <c r="C245" s="67">
        <v>71.13</v>
      </c>
      <c r="D245" s="81">
        <f t="shared" si="3"/>
        <v>-0.0183549544576318</v>
      </c>
      <c r="G245" s="82">
        <v>45467</v>
      </c>
      <c r="H245" s="83">
        <v>78232.1</v>
      </c>
      <c r="I245" s="90">
        <v>-0.0073</v>
      </c>
    </row>
    <row r="246" spans="2:9">
      <c r="B246" s="85">
        <v>45468</v>
      </c>
      <c r="C246" s="67">
        <v>69.97</v>
      </c>
      <c r="D246" s="81">
        <f t="shared" si="3"/>
        <v>-0.016308168142837</v>
      </c>
      <c r="G246" s="82">
        <v>45468</v>
      </c>
      <c r="H246" s="83">
        <v>77940.6</v>
      </c>
      <c r="I246" s="90">
        <v>-0.0037</v>
      </c>
    </row>
    <row r="247" spans="2:9">
      <c r="B247" s="85">
        <v>45469</v>
      </c>
      <c r="C247" s="67">
        <v>69.46</v>
      </c>
      <c r="D247" s="81">
        <f t="shared" si="3"/>
        <v>-0.00728883807346013</v>
      </c>
      <c r="G247" s="82">
        <v>45469</v>
      </c>
      <c r="H247" s="83">
        <v>78275.7</v>
      </c>
      <c r="I247" s="90">
        <v>0.0043</v>
      </c>
    </row>
    <row r="248" spans="2:9">
      <c r="B248" s="85">
        <v>45470</v>
      </c>
      <c r="C248" s="67">
        <v>70.92</v>
      </c>
      <c r="D248" s="81">
        <f t="shared" si="3"/>
        <v>0.0210192916786641</v>
      </c>
      <c r="G248" s="82">
        <v>45470</v>
      </c>
      <c r="H248" s="83">
        <v>78528.3</v>
      </c>
      <c r="I248" s="90">
        <v>0.0032</v>
      </c>
    </row>
    <row r="249" ht="14.25" spans="2:9">
      <c r="B249" s="93">
        <v>45471</v>
      </c>
      <c r="C249" s="94">
        <v>70.85</v>
      </c>
      <c r="D249" s="81">
        <f t="shared" si="3"/>
        <v>-0.000987027636773934</v>
      </c>
      <c r="G249" s="95">
        <v>45471</v>
      </c>
      <c r="H249" s="83">
        <v>78445</v>
      </c>
      <c r="I249" s="90">
        <v>-0.0011</v>
      </c>
    </row>
    <row r="250" ht="15" spans="2:9">
      <c r="B250" s="32"/>
      <c r="C250" s="96" t="s">
        <v>98</v>
      </c>
      <c r="D250" s="97">
        <f>AVERAGE(D7:D249)</f>
        <v>0.000822366532185865</v>
      </c>
      <c r="H250" s="98" t="s">
        <v>98</v>
      </c>
      <c r="I250" s="103">
        <f>AVERAGE(I7:I249)</f>
        <v>0.00244773662551441</v>
      </c>
    </row>
    <row r="252" ht="15" spans="3:9">
      <c r="C252" s="99"/>
      <c r="D252" s="100"/>
      <c r="H252" s="98" t="s">
        <v>99</v>
      </c>
      <c r="I252" s="104">
        <f>I250*244</f>
        <v>0.597247736625515</v>
      </c>
    </row>
    <row r="255" spans="1:2">
      <c r="A255" s="101" t="s">
        <v>100</v>
      </c>
      <c r="B255" s="102">
        <v>0.1235</v>
      </c>
    </row>
  </sheetData>
  <mergeCells count="3">
    <mergeCell ref="A1:K1"/>
    <mergeCell ref="B3:D4"/>
    <mergeCell ref="G3:I4"/>
  </mergeCells>
  <pageMargins left="0.7" right="0.7" top="0.75" bottom="0.75" header="0.3" footer="0.3"/>
  <headerFooter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19"/>
  <sheetViews>
    <sheetView workbookViewId="0">
      <selection activeCell="J3" sqref="J3"/>
    </sheetView>
  </sheetViews>
  <sheetFormatPr defaultColWidth="9" defaultRowHeight="13.5"/>
  <cols>
    <col min="2" max="2" width="21.75" customWidth="1"/>
    <col min="3" max="3" width="13.375" customWidth="1"/>
    <col min="4" max="4" width="13.625" customWidth="1"/>
    <col min="5" max="9" width="13" customWidth="1"/>
    <col min="10" max="10" width="13.125" customWidth="1"/>
  </cols>
  <sheetData>
    <row r="1" ht="33.75" customHeight="1" spans="2:10">
      <c r="B1" s="51" t="s">
        <v>101</v>
      </c>
      <c r="C1" s="51"/>
      <c r="D1" s="51"/>
      <c r="E1" s="51"/>
      <c r="F1" s="51"/>
      <c r="G1" s="51"/>
      <c r="H1" s="51"/>
      <c r="I1" s="51"/>
      <c r="J1" s="51"/>
    </row>
    <row r="3" spans="2:10">
      <c r="B3" s="2" t="s">
        <v>34</v>
      </c>
      <c r="C3" s="52">
        <v>44561</v>
      </c>
      <c r="D3" s="52">
        <v>44926</v>
      </c>
      <c r="E3" s="52">
        <v>45291</v>
      </c>
      <c r="F3" s="52">
        <v>45657</v>
      </c>
      <c r="G3" s="52">
        <v>46022</v>
      </c>
      <c r="H3" s="52">
        <v>46387</v>
      </c>
      <c r="I3" s="52">
        <v>46752</v>
      </c>
      <c r="J3" s="52">
        <v>47118</v>
      </c>
    </row>
    <row r="4" spans="2:10">
      <c r="B4" s="3" t="s">
        <v>102</v>
      </c>
      <c r="C4" s="53">
        <f>'Balance Sheet'!C15</f>
        <v>131366</v>
      </c>
      <c r="D4" s="53">
        <f>'Balance Sheet'!D15</f>
        <v>31441</v>
      </c>
      <c r="E4" s="53">
        <f>'Balance Sheet'!E15</f>
        <v>55350</v>
      </c>
      <c r="F4" s="53">
        <f>'Balance Sheet'!F15</f>
        <v>53217.7654065337</v>
      </c>
      <c r="G4" s="53">
        <f>'Balance Sheet'!G15</f>
        <v>50659.0838943742</v>
      </c>
      <c r="H4" s="53">
        <f>'Balance Sheet'!H15</f>
        <v>47588.6660797828</v>
      </c>
      <c r="I4" s="53">
        <f>'Balance Sheet'!I15</f>
        <v>43904.1647022731</v>
      </c>
      <c r="J4" s="53">
        <f>'Balance Sheet'!J15</f>
        <v>39482.7630492615</v>
      </c>
    </row>
    <row r="5" spans="2:10">
      <c r="B5" s="14" t="s">
        <v>45</v>
      </c>
      <c r="C5" s="54">
        <f>'Balance Sheet'!C17</f>
        <v>5561316</v>
      </c>
      <c r="D5" s="54">
        <f>'Balance Sheet'!D17</f>
        <v>7090919</v>
      </c>
      <c r="E5" s="54">
        <f>'Balance Sheet'!E17</f>
        <v>7734097</v>
      </c>
      <c r="F5" s="54">
        <f>'Balance Sheet'!F17</f>
        <v>16443994.5760634</v>
      </c>
      <c r="G5" s="54">
        <f>'Balance Sheet'!G17</f>
        <v>28949412.9296657</v>
      </c>
      <c r="H5" s="54">
        <f>'Balance Sheet'!H17</f>
        <v>46906707.2756632</v>
      </c>
      <c r="I5" s="54">
        <f>'Balance Sheet'!I17</f>
        <v>72695038.1720075</v>
      </c>
      <c r="J5" s="54">
        <f>'Balance Sheet'!J17</f>
        <v>109731786.784161</v>
      </c>
    </row>
    <row r="6" spans="2:10">
      <c r="B6" s="3" t="s">
        <v>103</v>
      </c>
      <c r="C6" s="53">
        <f>SUM(C4:C5)</f>
        <v>5692682</v>
      </c>
      <c r="D6" s="53">
        <f t="shared" ref="D6:J6" si="0">SUM(D4:D5)</f>
        <v>7122360</v>
      </c>
      <c r="E6" s="53">
        <f t="shared" si="0"/>
        <v>7789447</v>
      </c>
      <c r="F6" s="53">
        <f t="shared" si="0"/>
        <v>16497212.34147</v>
      </c>
      <c r="G6" s="53">
        <f t="shared" si="0"/>
        <v>29000072.01356</v>
      </c>
      <c r="H6" s="53">
        <f t="shared" si="0"/>
        <v>46954295.941743</v>
      </c>
      <c r="I6" s="53">
        <f t="shared" si="0"/>
        <v>72738942.3367098</v>
      </c>
      <c r="J6" s="53">
        <f t="shared" si="0"/>
        <v>109771269.54721</v>
      </c>
    </row>
    <row r="8" spans="2:10">
      <c r="B8" s="55" t="s">
        <v>104</v>
      </c>
      <c r="C8" s="56">
        <f>C4/C6</f>
        <v>0.0230762933885996</v>
      </c>
      <c r="D8" s="56">
        <f t="shared" ref="D8:J8" si="1">D4/D6</f>
        <v>0.00441440758400306</v>
      </c>
      <c r="E8" s="56">
        <f t="shared" si="1"/>
        <v>0.00710576758529842</v>
      </c>
      <c r="F8" s="56">
        <f t="shared" si="1"/>
        <v>0.00322586412207093</v>
      </c>
      <c r="G8" s="56">
        <f t="shared" si="1"/>
        <v>0.00174686062402489</v>
      </c>
      <c r="H8" s="56">
        <f t="shared" si="1"/>
        <v>0.00101351037482975</v>
      </c>
      <c r="I8" s="56">
        <f t="shared" si="1"/>
        <v>0.000603585415072989</v>
      </c>
      <c r="J8" s="56">
        <f t="shared" si="1"/>
        <v>0.000359682120942228</v>
      </c>
    </row>
    <row r="9" spans="2:10">
      <c r="B9" s="57" t="s">
        <v>105</v>
      </c>
      <c r="C9" s="58">
        <f>C5/C6</f>
        <v>0.9769237066114</v>
      </c>
      <c r="D9" s="58">
        <f t="shared" ref="D9:J9" si="2">D5/D6</f>
        <v>0.995585592415997</v>
      </c>
      <c r="E9" s="58">
        <f t="shared" si="2"/>
        <v>0.992894232414702</v>
      </c>
      <c r="F9" s="58">
        <f t="shared" si="2"/>
        <v>0.996774135877929</v>
      </c>
      <c r="G9" s="58">
        <f t="shared" si="2"/>
        <v>0.998253139375975</v>
      </c>
      <c r="H9" s="58">
        <f t="shared" si="2"/>
        <v>0.99898648962517</v>
      </c>
      <c r="I9" s="58">
        <f t="shared" si="2"/>
        <v>0.999396414584927</v>
      </c>
      <c r="J9" s="58">
        <f t="shared" si="2"/>
        <v>0.999640317879058</v>
      </c>
    </row>
    <row r="11" ht="14.25" spans="2:10">
      <c r="B11" s="59" t="s">
        <v>106</v>
      </c>
      <c r="C11" s="60">
        <f ca="1">((C8*$C$13)*(1-0.29))+(C9*$C$14)</f>
        <v>0.264873726990587</v>
      </c>
      <c r="D11" s="60">
        <f ca="1" t="shared" ref="D11:J11" si="3">((D8*$C$13)*(1-0.29))+(D9*$C$14)</f>
        <v>0.267220947603584</v>
      </c>
      <c r="E11" s="60">
        <f ca="1" t="shared" si="3"/>
        <v>0.266882438637331</v>
      </c>
      <c r="F11" s="60">
        <f ca="1" t="shared" si="3"/>
        <v>0.267370438053933</v>
      </c>
      <c r="G11" s="60">
        <f ca="1" t="shared" si="3"/>
        <v>0.267556461456587</v>
      </c>
      <c r="H11" s="60">
        <f ca="1" t="shared" si="3"/>
        <v>0.267648699445795</v>
      </c>
      <c r="I11" s="60">
        <f ca="1" t="shared" si="3"/>
        <v>0.267700258239231</v>
      </c>
      <c r="J11" s="60">
        <f ca="1" t="shared" si="3"/>
        <v>0.267730935462613</v>
      </c>
    </row>
    <row r="13" spans="2:3">
      <c r="B13" s="17" t="s">
        <v>107</v>
      </c>
      <c r="C13" s="61">
        <f>'Financial Liabilities'!C11</f>
        <v>0.2</v>
      </c>
    </row>
    <row r="14" spans="2:3">
      <c r="B14" s="17" t="s">
        <v>108</v>
      </c>
      <c r="C14" s="61">
        <f ca="1">C19</f>
        <v>0.267776174903967</v>
      </c>
    </row>
    <row r="16" spans="2:3">
      <c r="B16" s="4" t="s">
        <v>109</v>
      </c>
      <c r="C16" s="62">
        <f>Returns!B255</f>
        <v>0.1235</v>
      </c>
    </row>
    <row r="17" spans="2:8">
      <c r="B17" s="4" t="s">
        <v>110</v>
      </c>
      <c r="C17" s="63">
        <f>Returns!I252</f>
        <v>0.597247736625515</v>
      </c>
      <c r="H17" s="64"/>
    </row>
    <row r="18" spans="2:3">
      <c r="B18" s="4" t="s">
        <v>111</v>
      </c>
      <c r="C18" s="65">
        <f ca="1">_xlfn.COVARIANCE.S(Returns!I7:Returns!I249,Returns!D7:Returns!D249)/_xlfn.VAR.S(Returns!D7:Returns!D249)</f>
        <v>0.304542193555667</v>
      </c>
    </row>
    <row r="19" spans="2:3">
      <c r="B19" s="66" t="s">
        <v>112</v>
      </c>
      <c r="C19" s="61">
        <f ca="1">C16+((C17-C16)*C18)</f>
        <v>0.267776174903967</v>
      </c>
    </row>
  </sheetData>
  <mergeCells count="1">
    <mergeCell ref="B1:J1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20"/>
  <sheetViews>
    <sheetView workbookViewId="0">
      <selection activeCell="G3" sqref="G3"/>
    </sheetView>
  </sheetViews>
  <sheetFormatPr defaultColWidth="9" defaultRowHeight="13.5"/>
  <cols>
    <col min="2" max="2" width="22.5" customWidth="1"/>
    <col min="3" max="3" width="16.625" customWidth="1"/>
    <col min="4" max="4" width="14.125" customWidth="1"/>
    <col min="5" max="5" width="13.125" customWidth="1"/>
    <col min="6" max="6" width="14.75" customWidth="1"/>
    <col min="7" max="7" width="14.5" customWidth="1"/>
    <col min="9" max="9" width="18.625" customWidth="1"/>
  </cols>
  <sheetData>
    <row r="1" ht="27" customHeight="1" spans="2:9">
      <c r="B1" s="24" t="s">
        <v>113</v>
      </c>
      <c r="C1" s="24"/>
      <c r="D1" s="24"/>
      <c r="E1" s="24"/>
      <c r="F1" s="24"/>
      <c r="G1" s="24"/>
      <c r="H1" s="24"/>
      <c r="I1" s="24"/>
    </row>
    <row r="3" spans="2:9">
      <c r="B3" s="2" t="s">
        <v>34</v>
      </c>
      <c r="C3" s="25">
        <v>45657</v>
      </c>
      <c r="D3" s="25">
        <v>46022</v>
      </c>
      <c r="E3" s="25">
        <v>46387</v>
      </c>
      <c r="F3" s="25">
        <v>46752</v>
      </c>
      <c r="G3" s="25">
        <v>47118</v>
      </c>
      <c r="H3" s="26"/>
      <c r="I3" s="48" t="s">
        <v>114</v>
      </c>
    </row>
    <row r="4" spans="2:9">
      <c r="B4" s="3" t="s">
        <v>115</v>
      </c>
      <c r="C4" s="27">
        <f>'Cash Flow '!C20</f>
        <v>6861545.47064865</v>
      </c>
      <c r="D4" s="27">
        <f>'Cash Flow '!D20</f>
        <v>36061884.3897204</v>
      </c>
      <c r="E4" s="27">
        <f>'Cash Flow '!E20</f>
        <v>24050103.4489167</v>
      </c>
      <c r="F4" s="27">
        <f>'Cash Flow '!F20</f>
        <v>34549609.2071172</v>
      </c>
      <c r="G4" s="27">
        <f>'Cash Flow '!G20</f>
        <v>49631929.0235494</v>
      </c>
      <c r="H4" s="3"/>
      <c r="I4" s="49">
        <f>G4*1.05</f>
        <v>52113525.4747268</v>
      </c>
    </row>
    <row r="5" spans="2:9">
      <c r="B5" s="28" t="s">
        <v>106</v>
      </c>
      <c r="C5" s="29">
        <f ca="1">Wacc!F11</f>
        <v>0.267370438053933</v>
      </c>
      <c r="D5" s="29">
        <f ca="1">Wacc!G11</f>
        <v>0.267556461456587</v>
      </c>
      <c r="E5" s="29">
        <f ca="1">Wacc!H11</f>
        <v>0.267648699445795</v>
      </c>
      <c r="F5" s="29">
        <f ca="1">Wacc!I11</f>
        <v>0.267700258239231</v>
      </c>
      <c r="G5" s="29">
        <f ca="1">Wacc!J11</f>
        <v>0.267730935462613</v>
      </c>
      <c r="H5" s="3"/>
      <c r="I5" s="10"/>
    </row>
    <row r="6" spans="2:9">
      <c r="B6" s="30" t="s">
        <v>116</v>
      </c>
      <c r="C6" s="28"/>
      <c r="D6" s="28"/>
      <c r="E6" s="28"/>
      <c r="F6" s="28"/>
      <c r="G6" s="28"/>
      <c r="H6" s="31"/>
      <c r="I6" s="50">
        <f ca="1">I4/G5</f>
        <v>194648875.314613</v>
      </c>
    </row>
    <row r="8" spans="2:9">
      <c r="B8" s="32"/>
      <c r="C8" s="33" t="s">
        <v>117</v>
      </c>
      <c r="D8" s="34" t="s">
        <v>118</v>
      </c>
      <c r="E8" s="35"/>
      <c r="F8" s="35"/>
      <c r="G8" s="36"/>
      <c r="H8" s="32"/>
      <c r="I8" s="32"/>
    </row>
    <row r="9" spans="2:9">
      <c r="B9" s="37"/>
      <c r="C9" s="38">
        <f ca="1">PV(C5,1,0,-D9)</f>
        <v>59475544.9840338</v>
      </c>
      <c r="D9" s="39">
        <f ca="1">PV(D5,1,0,-E9)</f>
        <v>75377547.4999113</v>
      </c>
      <c r="E9" s="39">
        <f ca="1">PV(E5,1,0,-F9)</f>
        <v>95545297.3822634</v>
      </c>
      <c r="F9" s="39">
        <f ca="1">PV(F5,1,0,-G9)</f>
        <v>121117871.964788</v>
      </c>
      <c r="G9" s="40">
        <f ca="1">PV(G5,1,0,-I6)</f>
        <v>153541157.567148</v>
      </c>
      <c r="H9" s="32"/>
      <c r="I9" s="32"/>
    </row>
    <row r="10" spans="3:3">
      <c r="C10" s="38">
        <f ca="1">PV(C5,1,0,-C4)</f>
        <v>5414001.51417817</v>
      </c>
    </row>
    <row r="11" spans="3:3">
      <c r="C11" s="38">
        <f ca="1">PV(D5,2,0,-D4)</f>
        <v>22444699.2210998</v>
      </c>
    </row>
    <row r="12" spans="3:3">
      <c r="C12" s="38">
        <f ca="1">PV(E5,3,0,-E4)</f>
        <v>11806473.6777569</v>
      </c>
    </row>
    <row r="13" spans="3:3">
      <c r="C13" s="38">
        <f ca="1">PV(F5,4,0,-F4)</f>
        <v>13377557.4341646</v>
      </c>
    </row>
    <row r="14" spans="3:3">
      <c r="C14" s="41">
        <f ca="1">PV(G5,5,0,-G4)</f>
        <v>15157434.9823581</v>
      </c>
    </row>
    <row r="16" ht="14.25"/>
    <row r="17" ht="14.25" spans="2:3">
      <c r="B17" s="42" t="s">
        <v>113</v>
      </c>
      <c r="C17" s="43"/>
    </row>
    <row r="18" ht="22.5" customHeight="1" spans="2:3">
      <c r="B18" s="44" t="s">
        <v>119</v>
      </c>
      <c r="C18" s="45">
        <f ca="1">SUM(C9:C14)</f>
        <v>127675711.813591</v>
      </c>
    </row>
    <row r="19" ht="21" customHeight="1" spans="2:3">
      <c r="B19" s="44" t="s">
        <v>120</v>
      </c>
      <c r="C19" s="45">
        <v>100250</v>
      </c>
    </row>
    <row r="20" ht="26.25" customHeight="1" spans="2:3">
      <c r="B20" s="46" t="s">
        <v>121</v>
      </c>
      <c r="C20" s="47">
        <f ca="1">C18/C19</f>
        <v>1273.57318517298</v>
      </c>
    </row>
  </sheetData>
  <mergeCells count="3">
    <mergeCell ref="B1:I1"/>
    <mergeCell ref="D8:G8"/>
    <mergeCell ref="B17:C17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24"/>
  <sheetViews>
    <sheetView workbookViewId="0">
      <selection activeCell="B1" sqref="B1:H1"/>
    </sheetView>
  </sheetViews>
  <sheetFormatPr defaultColWidth="9" defaultRowHeight="13.5" outlineLevelCol="7"/>
  <cols>
    <col min="2" max="2" width="27.5" customWidth="1"/>
    <col min="3" max="3" width="17.875" customWidth="1"/>
    <col min="4" max="4" width="9.875" customWidth="1"/>
  </cols>
  <sheetData>
    <row r="1" ht="27" customHeight="1" spans="2:8">
      <c r="B1" s="1" t="s">
        <v>122</v>
      </c>
      <c r="C1" s="1"/>
      <c r="D1" s="1"/>
      <c r="E1" s="1"/>
      <c r="F1" s="1"/>
      <c r="G1" s="1"/>
      <c r="H1" s="1"/>
    </row>
    <row r="3" spans="2:3">
      <c r="B3" s="2" t="s">
        <v>34</v>
      </c>
      <c r="C3" s="3"/>
    </row>
    <row r="4" spans="2:3">
      <c r="B4" s="4" t="s">
        <v>119</v>
      </c>
      <c r="C4" s="5">
        <f ca="1">'Firm Value'!C18</f>
        <v>127675711.813591</v>
      </c>
    </row>
    <row r="5" spans="2:3">
      <c r="B5" s="4" t="s">
        <v>123</v>
      </c>
      <c r="C5" s="6">
        <f ca="1">'Firm Value'!C20</f>
        <v>1273.57318517298</v>
      </c>
    </row>
    <row r="6" spans="2:3">
      <c r="B6" s="3"/>
      <c r="C6" s="7"/>
    </row>
    <row r="7" spans="2:8">
      <c r="B7" s="3"/>
      <c r="C7" s="2" t="s">
        <v>124</v>
      </c>
      <c r="D7" s="2"/>
      <c r="E7" s="2"/>
      <c r="F7" s="2"/>
      <c r="G7" s="2"/>
      <c r="H7" s="2"/>
    </row>
    <row r="8" spans="2:8">
      <c r="B8" s="3"/>
      <c r="C8" s="8" t="s">
        <v>125</v>
      </c>
      <c r="D8" s="8"/>
      <c r="E8" s="8"/>
      <c r="F8" s="8"/>
      <c r="G8" s="8"/>
      <c r="H8" s="8"/>
    </row>
    <row r="9" spans="2:8">
      <c r="B9" s="3"/>
      <c r="C9" s="9">
        <v>0</v>
      </c>
      <c r="D9" s="9">
        <v>1</v>
      </c>
      <c r="E9" s="9">
        <v>2</v>
      </c>
      <c r="F9" s="9">
        <v>3</v>
      </c>
      <c r="G9" s="9">
        <v>4</v>
      </c>
      <c r="H9" s="9">
        <v>5</v>
      </c>
    </row>
    <row r="10" spans="2:8">
      <c r="B10" s="10" t="s">
        <v>126</v>
      </c>
      <c r="C10" s="11">
        <v>-1000000</v>
      </c>
      <c r="D10" s="12"/>
      <c r="E10" s="12"/>
      <c r="F10" s="12"/>
      <c r="G10" s="12"/>
      <c r="H10" s="12"/>
    </row>
    <row r="11" spans="2:8">
      <c r="B11" s="10" t="s">
        <v>127</v>
      </c>
      <c r="C11" s="12"/>
      <c r="D11" s="13">
        <v>300000</v>
      </c>
      <c r="E11" s="13">
        <v>600000</v>
      </c>
      <c r="F11" s="13">
        <v>600000</v>
      </c>
      <c r="G11" s="13">
        <v>400000</v>
      </c>
      <c r="H11" s="13">
        <v>100000</v>
      </c>
    </row>
    <row r="12" spans="2:8">
      <c r="B12" s="14" t="s">
        <v>106</v>
      </c>
      <c r="C12" s="15"/>
      <c r="D12" s="16">
        <f ca="1">Wacc!F11</f>
        <v>0.267370438053933</v>
      </c>
      <c r="E12" s="16">
        <f ca="1">Wacc!G11</f>
        <v>0.267556461456587</v>
      </c>
      <c r="F12" s="16">
        <f ca="1">Wacc!H11</f>
        <v>0.267648699445795</v>
      </c>
      <c r="G12" s="16">
        <f ca="1">Wacc!I11</f>
        <v>0.267700258239231</v>
      </c>
      <c r="H12" s="16">
        <f ca="1">Wacc!J11</f>
        <v>0.267730935462613</v>
      </c>
    </row>
    <row r="13" spans="2:3">
      <c r="B13" s="17" t="s">
        <v>117</v>
      </c>
      <c r="C13" s="18">
        <f ca="1">PV(D12,1,0,-D11)</f>
        <v>236710.586733153</v>
      </c>
    </row>
    <row r="14" spans="3:3">
      <c r="C14" s="18">
        <f ca="1">PV(E12,2,0,-E11)</f>
        <v>373436.379173204</v>
      </c>
    </row>
    <row r="15" spans="3:3">
      <c r="C15" s="18">
        <f ca="1">PV(F12,3,0,-F11)</f>
        <v>294546.932893681</v>
      </c>
    </row>
    <row r="16" spans="3:3">
      <c r="C16" s="18">
        <f ca="1">PV(G12,4,0,-G11)</f>
        <v>154879.406640685</v>
      </c>
    </row>
    <row r="17" spans="3:3">
      <c r="C17" s="18">
        <f ca="1">PV(H12,5,0,-H11)</f>
        <v>30539.6854012389</v>
      </c>
    </row>
    <row r="18" spans="3:3">
      <c r="C18" s="19">
        <f ca="1">SUM(C13:C17)</f>
        <v>1090112.99084196</v>
      </c>
    </row>
    <row r="19" spans="3:3">
      <c r="C19" s="3"/>
    </row>
    <row r="20" spans="2:3">
      <c r="B20" s="17" t="s">
        <v>128</v>
      </c>
      <c r="C20" s="20">
        <f ca="1">C18+C10</f>
        <v>90112.9908419615</v>
      </c>
    </row>
    <row r="22" spans="2:3">
      <c r="B22" s="21" t="s">
        <v>129</v>
      </c>
      <c r="C22" s="22">
        <f ca="1">C4+C20</f>
        <v>127765824.804433</v>
      </c>
    </row>
    <row r="23" spans="2:3">
      <c r="B23" s="21" t="s">
        <v>120</v>
      </c>
      <c r="C23" s="21">
        <f>'Firm Value'!C19</f>
        <v>100250</v>
      </c>
    </row>
    <row r="24" spans="2:3">
      <c r="B24" s="21" t="s">
        <v>130</v>
      </c>
      <c r="C24" s="23">
        <f ca="1">C22/C23</f>
        <v>1274.47206787465</v>
      </c>
    </row>
  </sheetData>
  <mergeCells count="3">
    <mergeCell ref="B1:H1"/>
    <mergeCell ref="C7:H7"/>
    <mergeCell ref="C8:H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INTRODUCTION</vt:lpstr>
      <vt:lpstr>P&amp;L STATEMENT </vt:lpstr>
      <vt:lpstr>Balance Sheet</vt:lpstr>
      <vt:lpstr>Financial Liabilities</vt:lpstr>
      <vt:lpstr>FIxed Asset Roll Forward</vt:lpstr>
      <vt:lpstr>Equity Schedule</vt:lpstr>
      <vt:lpstr>Cash Flow </vt:lpstr>
      <vt:lpstr>Returns</vt:lpstr>
      <vt:lpstr>Wacc</vt:lpstr>
      <vt:lpstr>Firm Value</vt:lpstr>
      <vt:lpstr>New Investment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WPS_1719507210</cp:lastModifiedBy>
  <dcterms:created xsi:type="dcterms:W3CDTF">2024-10-21T14:38:00Z</dcterms:created>
  <dcterms:modified xsi:type="dcterms:W3CDTF">2024-12-14T14:11:54Z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16AD2173F8854A7B833A36FB300E5D4F_13</vt:lpwstr>
  </property>
  <property fmtid="{D5CDD505-2E9C-101B-9397-08002B2CF9AE}" pid="3" name="KSOProductBuildVer">
    <vt:lpwstr>1033-12.2.0.19307</vt:lpwstr>
  </property>
</Properties>
</file>