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1221" i="1" l="1"/>
  <c r="K1220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186" i="1"/>
  <c r="K1073" i="1"/>
  <c r="K1072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38" i="1"/>
  <c r="K930" i="1"/>
  <c r="K929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895" i="1"/>
  <c r="K776" i="1"/>
  <c r="K775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41" i="1"/>
  <c r="K632" i="1"/>
  <c r="K631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597" i="1"/>
  <c r="K477" i="1"/>
  <c r="K476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42" i="1"/>
  <c r="K324" i="1"/>
  <c r="K323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289" i="1"/>
  <c r="K181" i="1"/>
  <c r="K180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8" i="1"/>
  <c r="K146" i="1"/>
  <c r="K42" i="1"/>
  <c r="K41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7" i="1"/>
  <c r="H1221" i="1"/>
  <c r="F1220" i="1"/>
  <c r="D1220" i="1"/>
  <c r="B1220" i="1"/>
  <c r="I1218" i="1"/>
  <c r="H1199" i="1"/>
  <c r="G1199" i="1"/>
  <c r="F1199" i="1"/>
  <c r="E1199" i="1"/>
  <c r="D1199" i="1"/>
  <c r="C1199" i="1"/>
  <c r="B1199" i="1"/>
  <c r="H1198" i="1"/>
  <c r="G1198" i="1"/>
  <c r="F1198" i="1"/>
  <c r="E1198" i="1"/>
  <c r="D1198" i="1"/>
  <c r="C1198" i="1"/>
  <c r="B1198" i="1"/>
  <c r="H1197" i="1"/>
  <c r="G1197" i="1"/>
  <c r="F1197" i="1"/>
  <c r="E1197" i="1"/>
  <c r="D1197" i="1"/>
  <c r="C1197" i="1"/>
  <c r="B1197" i="1"/>
  <c r="H1196" i="1"/>
  <c r="G1196" i="1"/>
  <c r="F1196" i="1"/>
  <c r="E1196" i="1"/>
  <c r="D1196" i="1"/>
  <c r="C1196" i="1"/>
  <c r="B1196" i="1"/>
  <c r="H1195" i="1"/>
  <c r="G1195" i="1"/>
  <c r="F1195" i="1"/>
  <c r="E1195" i="1"/>
  <c r="D1195" i="1"/>
  <c r="C1195" i="1"/>
  <c r="B1195" i="1"/>
  <c r="H1194" i="1"/>
  <c r="G1194" i="1"/>
  <c r="F1194" i="1"/>
  <c r="E1194" i="1"/>
  <c r="D1194" i="1"/>
  <c r="C1194" i="1"/>
  <c r="B1194" i="1"/>
  <c r="H1193" i="1"/>
  <c r="G1193" i="1"/>
  <c r="F1193" i="1"/>
  <c r="E1193" i="1"/>
  <c r="D1193" i="1"/>
  <c r="C1193" i="1"/>
  <c r="B1193" i="1"/>
  <c r="H1192" i="1"/>
  <c r="G1192" i="1"/>
  <c r="F1192" i="1"/>
  <c r="E1192" i="1"/>
  <c r="D1192" i="1"/>
  <c r="C1192" i="1"/>
  <c r="J1192" i="1" s="1"/>
  <c r="B1192" i="1"/>
  <c r="H1191" i="1"/>
  <c r="G1191" i="1"/>
  <c r="F1191" i="1"/>
  <c r="E1191" i="1"/>
  <c r="D1191" i="1"/>
  <c r="C1191" i="1"/>
  <c r="B1191" i="1"/>
  <c r="J1191" i="1" s="1"/>
  <c r="H1190" i="1"/>
  <c r="G1190" i="1"/>
  <c r="F1190" i="1"/>
  <c r="E1190" i="1"/>
  <c r="D1190" i="1"/>
  <c r="C1190" i="1"/>
  <c r="J1190" i="1" s="1"/>
  <c r="B1190" i="1"/>
  <c r="H1189" i="1"/>
  <c r="G1189" i="1"/>
  <c r="F1189" i="1"/>
  <c r="E1189" i="1"/>
  <c r="D1189" i="1"/>
  <c r="C1189" i="1"/>
  <c r="B1189" i="1"/>
  <c r="J1189" i="1" s="1"/>
  <c r="H1188" i="1"/>
  <c r="G1188" i="1"/>
  <c r="F1188" i="1"/>
  <c r="E1188" i="1"/>
  <c r="D1188" i="1"/>
  <c r="C1188" i="1"/>
  <c r="J1188" i="1" s="1"/>
  <c r="B1188" i="1"/>
  <c r="H1187" i="1"/>
  <c r="G1187" i="1"/>
  <c r="F1187" i="1"/>
  <c r="E1187" i="1"/>
  <c r="D1187" i="1"/>
  <c r="C1187" i="1"/>
  <c r="B1187" i="1"/>
  <c r="J1187" i="1" s="1"/>
  <c r="H1186" i="1"/>
  <c r="G1186" i="1"/>
  <c r="G1218" i="1" s="1"/>
  <c r="F1186" i="1"/>
  <c r="E1186" i="1"/>
  <c r="E1218" i="1" s="1"/>
  <c r="D1186" i="1"/>
  <c r="C1186" i="1"/>
  <c r="C1218" i="1" s="1"/>
  <c r="B1186" i="1"/>
  <c r="I1078" i="1"/>
  <c r="I1077" i="1"/>
  <c r="E1075" i="1"/>
  <c r="H1073" i="1"/>
  <c r="F1072" i="1"/>
  <c r="D1072" i="1"/>
  <c r="B1072" i="1"/>
  <c r="I1070" i="1"/>
  <c r="H1068" i="1"/>
  <c r="G1068" i="1"/>
  <c r="F1068" i="1"/>
  <c r="E1068" i="1"/>
  <c r="D1068" i="1"/>
  <c r="C1068" i="1"/>
  <c r="B1068" i="1"/>
  <c r="H1067" i="1"/>
  <c r="G1067" i="1"/>
  <c r="F1067" i="1"/>
  <c r="E1067" i="1"/>
  <c r="D1067" i="1"/>
  <c r="C1067" i="1"/>
  <c r="B1067" i="1"/>
  <c r="H1066" i="1"/>
  <c r="G1066" i="1"/>
  <c r="F1066" i="1"/>
  <c r="E1066" i="1"/>
  <c r="D1066" i="1"/>
  <c r="C1066" i="1"/>
  <c r="B1066" i="1"/>
  <c r="H1065" i="1"/>
  <c r="G1065" i="1"/>
  <c r="F1065" i="1"/>
  <c r="E1065" i="1"/>
  <c r="D1065" i="1"/>
  <c r="C1065" i="1"/>
  <c r="B1065" i="1"/>
  <c r="H1064" i="1"/>
  <c r="G1064" i="1"/>
  <c r="F1064" i="1"/>
  <c r="E1064" i="1"/>
  <c r="D1064" i="1"/>
  <c r="C1064" i="1"/>
  <c r="B1064" i="1"/>
  <c r="H1063" i="1"/>
  <c r="G1063" i="1"/>
  <c r="F1063" i="1"/>
  <c r="E1063" i="1"/>
  <c r="D1063" i="1"/>
  <c r="C1063" i="1"/>
  <c r="B1063" i="1"/>
  <c r="H1062" i="1"/>
  <c r="G1062" i="1"/>
  <c r="F1062" i="1"/>
  <c r="E1062" i="1"/>
  <c r="D1062" i="1"/>
  <c r="C1062" i="1"/>
  <c r="B1062" i="1"/>
  <c r="H1061" i="1"/>
  <c r="G1061" i="1"/>
  <c r="F1061" i="1"/>
  <c r="E1061" i="1"/>
  <c r="D1061" i="1"/>
  <c r="C1061" i="1"/>
  <c r="B1061" i="1"/>
  <c r="H1060" i="1"/>
  <c r="G1060" i="1"/>
  <c r="F1060" i="1"/>
  <c r="E1060" i="1"/>
  <c r="D1060" i="1"/>
  <c r="C1060" i="1"/>
  <c r="B1060" i="1"/>
  <c r="H1059" i="1"/>
  <c r="G1059" i="1"/>
  <c r="F1059" i="1"/>
  <c r="E1059" i="1"/>
  <c r="D1059" i="1"/>
  <c r="C1059" i="1"/>
  <c r="B1059" i="1"/>
  <c r="H1058" i="1"/>
  <c r="G1058" i="1"/>
  <c r="F1058" i="1"/>
  <c r="E1058" i="1"/>
  <c r="D1058" i="1"/>
  <c r="C1058" i="1"/>
  <c r="B1058" i="1"/>
  <c r="H1057" i="1"/>
  <c r="G1057" i="1"/>
  <c r="F1057" i="1"/>
  <c r="E1057" i="1"/>
  <c r="D1057" i="1"/>
  <c r="C1057" i="1"/>
  <c r="B1057" i="1"/>
  <c r="H1056" i="1"/>
  <c r="G1056" i="1"/>
  <c r="F1056" i="1"/>
  <c r="E1056" i="1"/>
  <c r="D1056" i="1"/>
  <c r="C1056" i="1"/>
  <c r="B1056" i="1"/>
  <c r="H1055" i="1"/>
  <c r="G1055" i="1"/>
  <c r="F1055" i="1"/>
  <c r="E1055" i="1"/>
  <c r="D1055" i="1"/>
  <c r="C1055" i="1"/>
  <c r="B1055" i="1"/>
  <c r="H1054" i="1"/>
  <c r="G1054" i="1"/>
  <c r="F1054" i="1"/>
  <c r="E1054" i="1"/>
  <c r="D1054" i="1"/>
  <c r="C1054" i="1"/>
  <c r="B1054" i="1"/>
  <c r="H1053" i="1"/>
  <c r="G1053" i="1"/>
  <c r="F1053" i="1"/>
  <c r="E1053" i="1"/>
  <c r="D1053" i="1"/>
  <c r="C1053" i="1"/>
  <c r="B1053" i="1"/>
  <c r="H1052" i="1"/>
  <c r="G1052" i="1"/>
  <c r="F1052" i="1"/>
  <c r="E1052" i="1"/>
  <c r="D1052" i="1"/>
  <c r="C1052" i="1"/>
  <c r="B1052" i="1"/>
  <c r="H1051" i="1"/>
  <c r="G1051" i="1"/>
  <c r="F1051" i="1"/>
  <c r="E1051" i="1"/>
  <c r="D1051" i="1"/>
  <c r="C1051" i="1"/>
  <c r="B1051" i="1"/>
  <c r="H1050" i="1"/>
  <c r="G1050" i="1"/>
  <c r="F1050" i="1"/>
  <c r="E1050" i="1"/>
  <c r="D1050" i="1"/>
  <c r="C1050" i="1"/>
  <c r="B1050" i="1"/>
  <c r="H1049" i="1"/>
  <c r="G1049" i="1"/>
  <c r="F1049" i="1"/>
  <c r="E1049" i="1"/>
  <c r="D1049" i="1"/>
  <c r="C1049" i="1"/>
  <c r="B1049" i="1"/>
  <c r="H1048" i="1"/>
  <c r="G1048" i="1"/>
  <c r="F1048" i="1"/>
  <c r="E1048" i="1"/>
  <c r="D1048" i="1"/>
  <c r="C1048" i="1"/>
  <c r="B1048" i="1"/>
  <c r="H1047" i="1"/>
  <c r="G1047" i="1"/>
  <c r="F1047" i="1"/>
  <c r="E1047" i="1"/>
  <c r="D1047" i="1"/>
  <c r="C1047" i="1"/>
  <c r="B1047" i="1"/>
  <c r="H1046" i="1"/>
  <c r="G1046" i="1"/>
  <c r="F1046" i="1"/>
  <c r="E1046" i="1"/>
  <c r="D1046" i="1"/>
  <c r="C1046" i="1"/>
  <c r="B1046" i="1"/>
  <c r="H1045" i="1"/>
  <c r="G1045" i="1"/>
  <c r="F1045" i="1"/>
  <c r="E1045" i="1"/>
  <c r="D1045" i="1"/>
  <c r="C1045" i="1"/>
  <c r="B1045" i="1"/>
  <c r="H1044" i="1"/>
  <c r="G1044" i="1"/>
  <c r="F1044" i="1"/>
  <c r="E1044" i="1"/>
  <c r="D1044" i="1"/>
  <c r="C1044" i="1"/>
  <c r="B1044" i="1"/>
  <c r="H1043" i="1"/>
  <c r="G1043" i="1"/>
  <c r="F1043" i="1"/>
  <c r="E1043" i="1"/>
  <c r="D1043" i="1"/>
  <c r="C1043" i="1"/>
  <c r="B1043" i="1"/>
  <c r="H1042" i="1"/>
  <c r="G1042" i="1"/>
  <c r="F1042" i="1"/>
  <c r="E1042" i="1"/>
  <c r="D1042" i="1"/>
  <c r="C1042" i="1"/>
  <c r="B1042" i="1"/>
  <c r="H1041" i="1"/>
  <c r="G1041" i="1"/>
  <c r="F1041" i="1"/>
  <c r="E1041" i="1"/>
  <c r="D1041" i="1"/>
  <c r="C1041" i="1"/>
  <c r="B1041" i="1"/>
  <c r="H1040" i="1"/>
  <c r="G1040" i="1"/>
  <c r="F1040" i="1"/>
  <c r="E1040" i="1"/>
  <c r="D1040" i="1"/>
  <c r="C1040" i="1"/>
  <c r="B1040" i="1"/>
  <c r="H1039" i="1"/>
  <c r="G1039" i="1"/>
  <c r="F1039" i="1"/>
  <c r="E1039" i="1"/>
  <c r="D1039" i="1"/>
  <c r="C1039" i="1"/>
  <c r="B1039" i="1"/>
  <c r="H1038" i="1"/>
  <c r="G1038" i="1"/>
  <c r="F1038" i="1"/>
  <c r="E1038" i="1"/>
  <c r="D1038" i="1"/>
  <c r="C1038" i="1"/>
  <c r="B1038" i="1"/>
  <c r="I934" i="1"/>
  <c r="I935" i="1" s="1"/>
  <c r="E932" i="1"/>
  <c r="H930" i="1"/>
  <c r="F929" i="1"/>
  <c r="D929" i="1"/>
  <c r="B929" i="1"/>
  <c r="I927" i="1"/>
  <c r="H925" i="1"/>
  <c r="G925" i="1"/>
  <c r="F925" i="1"/>
  <c r="E925" i="1"/>
  <c r="D925" i="1"/>
  <c r="C925" i="1"/>
  <c r="B925" i="1"/>
  <c r="H924" i="1"/>
  <c r="G924" i="1"/>
  <c r="F924" i="1"/>
  <c r="E924" i="1"/>
  <c r="D924" i="1"/>
  <c r="C924" i="1"/>
  <c r="B924" i="1"/>
  <c r="H923" i="1"/>
  <c r="G923" i="1"/>
  <c r="F923" i="1"/>
  <c r="E923" i="1"/>
  <c r="D923" i="1"/>
  <c r="C923" i="1"/>
  <c r="B923" i="1"/>
  <c r="H922" i="1"/>
  <c r="G922" i="1"/>
  <c r="F922" i="1"/>
  <c r="E922" i="1"/>
  <c r="D922" i="1"/>
  <c r="C922" i="1"/>
  <c r="B922" i="1"/>
  <c r="H921" i="1"/>
  <c r="G921" i="1"/>
  <c r="F921" i="1"/>
  <c r="E921" i="1"/>
  <c r="D921" i="1"/>
  <c r="C921" i="1"/>
  <c r="B921" i="1"/>
  <c r="H920" i="1"/>
  <c r="G920" i="1"/>
  <c r="F920" i="1"/>
  <c r="E920" i="1"/>
  <c r="D920" i="1"/>
  <c r="C920" i="1"/>
  <c r="B920" i="1"/>
  <c r="H919" i="1"/>
  <c r="G919" i="1"/>
  <c r="F919" i="1"/>
  <c r="E919" i="1"/>
  <c r="D919" i="1"/>
  <c r="C919" i="1"/>
  <c r="B919" i="1"/>
  <c r="H918" i="1"/>
  <c r="G918" i="1"/>
  <c r="F918" i="1"/>
  <c r="E918" i="1"/>
  <c r="D918" i="1"/>
  <c r="C918" i="1"/>
  <c r="B918" i="1"/>
  <c r="H917" i="1"/>
  <c r="G917" i="1"/>
  <c r="F917" i="1"/>
  <c r="E917" i="1"/>
  <c r="D917" i="1"/>
  <c r="C917" i="1"/>
  <c r="B917" i="1"/>
  <c r="H916" i="1"/>
  <c r="G916" i="1"/>
  <c r="F916" i="1"/>
  <c r="E916" i="1"/>
  <c r="D916" i="1"/>
  <c r="C916" i="1"/>
  <c r="B916" i="1"/>
  <c r="H915" i="1"/>
  <c r="G915" i="1"/>
  <c r="F915" i="1"/>
  <c r="E915" i="1"/>
  <c r="D915" i="1"/>
  <c r="C915" i="1"/>
  <c r="B915" i="1"/>
  <c r="H914" i="1"/>
  <c r="G914" i="1"/>
  <c r="F914" i="1"/>
  <c r="E914" i="1"/>
  <c r="D914" i="1"/>
  <c r="C914" i="1"/>
  <c r="B914" i="1"/>
  <c r="H913" i="1"/>
  <c r="G913" i="1"/>
  <c r="F913" i="1"/>
  <c r="E913" i="1"/>
  <c r="D913" i="1"/>
  <c r="C913" i="1"/>
  <c r="B913" i="1"/>
  <c r="H912" i="1"/>
  <c r="G912" i="1"/>
  <c r="F912" i="1"/>
  <c r="E912" i="1"/>
  <c r="D912" i="1"/>
  <c r="C912" i="1"/>
  <c r="B912" i="1"/>
  <c r="H911" i="1"/>
  <c r="G911" i="1"/>
  <c r="F911" i="1"/>
  <c r="E911" i="1"/>
  <c r="D911" i="1"/>
  <c r="C911" i="1"/>
  <c r="B911" i="1"/>
  <c r="H910" i="1"/>
  <c r="G910" i="1"/>
  <c r="F910" i="1"/>
  <c r="E910" i="1"/>
  <c r="D910" i="1"/>
  <c r="C910" i="1"/>
  <c r="B910" i="1"/>
  <c r="H909" i="1"/>
  <c r="G909" i="1"/>
  <c r="F909" i="1"/>
  <c r="E909" i="1"/>
  <c r="D909" i="1"/>
  <c r="C909" i="1"/>
  <c r="B909" i="1"/>
  <c r="H908" i="1"/>
  <c r="G908" i="1"/>
  <c r="F908" i="1"/>
  <c r="E908" i="1"/>
  <c r="D908" i="1"/>
  <c r="C908" i="1"/>
  <c r="B908" i="1"/>
  <c r="H907" i="1"/>
  <c r="G907" i="1"/>
  <c r="F907" i="1"/>
  <c r="E907" i="1"/>
  <c r="D907" i="1"/>
  <c r="C907" i="1"/>
  <c r="B907" i="1"/>
  <c r="H906" i="1"/>
  <c r="G906" i="1"/>
  <c r="F906" i="1"/>
  <c r="E906" i="1"/>
  <c r="D906" i="1"/>
  <c r="C906" i="1"/>
  <c r="B906" i="1"/>
  <c r="H905" i="1"/>
  <c r="G905" i="1"/>
  <c r="F905" i="1"/>
  <c r="E905" i="1"/>
  <c r="D905" i="1"/>
  <c r="C905" i="1"/>
  <c r="B905" i="1"/>
  <c r="H904" i="1"/>
  <c r="G904" i="1"/>
  <c r="F904" i="1"/>
  <c r="E904" i="1"/>
  <c r="D904" i="1"/>
  <c r="C904" i="1"/>
  <c r="B904" i="1"/>
  <c r="H903" i="1"/>
  <c r="G903" i="1"/>
  <c r="F903" i="1"/>
  <c r="E903" i="1"/>
  <c r="D903" i="1"/>
  <c r="C903" i="1"/>
  <c r="B903" i="1"/>
  <c r="H902" i="1"/>
  <c r="G902" i="1"/>
  <c r="F902" i="1"/>
  <c r="E902" i="1"/>
  <c r="D902" i="1"/>
  <c r="C902" i="1"/>
  <c r="B902" i="1"/>
  <c r="H901" i="1"/>
  <c r="G901" i="1"/>
  <c r="F901" i="1"/>
  <c r="E901" i="1"/>
  <c r="D901" i="1"/>
  <c r="C901" i="1"/>
  <c r="B901" i="1"/>
  <c r="H900" i="1"/>
  <c r="G900" i="1"/>
  <c r="F900" i="1"/>
  <c r="E900" i="1"/>
  <c r="D900" i="1"/>
  <c r="C900" i="1"/>
  <c r="B900" i="1"/>
  <c r="H899" i="1"/>
  <c r="G899" i="1"/>
  <c r="F899" i="1"/>
  <c r="E899" i="1"/>
  <c r="D899" i="1"/>
  <c r="C899" i="1"/>
  <c r="B899" i="1"/>
  <c r="H898" i="1"/>
  <c r="G898" i="1"/>
  <c r="F898" i="1"/>
  <c r="E898" i="1"/>
  <c r="D898" i="1"/>
  <c r="C898" i="1"/>
  <c r="B898" i="1"/>
  <c r="H897" i="1"/>
  <c r="G897" i="1"/>
  <c r="F897" i="1"/>
  <c r="E897" i="1"/>
  <c r="D897" i="1"/>
  <c r="C897" i="1"/>
  <c r="B897" i="1"/>
  <c r="H896" i="1"/>
  <c r="G896" i="1"/>
  <c r="F896" i="1"/>
  <c r="E896" i="1"/>
  <c r="D896" i="1"/>
  <c r="C896" i="1"/>
  <c r="B896" i="1"/>
  <c r="H895" i="1"/>
  <c r="G895" i="1"/>
  <c r="F895" i="1"/>
  <c r="E895" i="1"/>
  <c r="D895" i="1"/>
  <c r="C895" i="1"/>
  <c r="B895" i="1"/>
  <c r="I780" i="1"/>
  <c r="I781" i="1" s="1"/>
  <c r="E778" i="1"/>
  <c r="H776" i="1"/>
  <c r="F775" i="1"/>
  <c r="D775" i="1"/>
  <c r="B775" i="1"/>
  <c r="I773" i="1"/>
  <c r="H770" i="1"/>
  <c r="G770" i="1"/>
  <c r="F770" i="1"/>
  <c r="E770" i="1"/>
  <c r="D770" i="1"/>
  <c r="C770" i="1"/>
  <c r="B770" i="1"/>
  <c r="H769" i="1"/>
  <c r="G769" i="1"/>
  <c r="F769" i="1"/>
  <c r="E769" i="1"/>
  <c r="D769" i="1"/>
  <c r="C769" i="1"/>
  <c r="B769" i="1"/>
  <c r="H768" i="1"/>
  <c r="G768" i="1"/>
  <c r="F768" i="1"/>
  <c r="E768" i="1"/>
  <c r="D768" i="1"/>
  <c r="C768" i="1"/>
  <c r="B768" i="1"/>
  <c r="H767" i="1"/>
  <c r="G767" i="1"/>
  <c r="F767" i="1"/>
  <c r="E767" i="1"/>
  <c r="D767" i="1"/>
  <c r="C767" i="1"/>
  <c r="B767" i="1"/>
  <c r="H766" i="1"/>
  <c r="G766" i="1"/>
  <c r="F766" i="1"/>
  <c r="E766" i="1"/>
  <c r="D766" i="1"/>
  <c r="C766" i="1"/>
  <c r="B766" i="1"/>
  <c r="H765" i="1"/>
  <c r="G765" i="1"/>
  <c r="F765" i="1"/>
  <c r="E765" i="1"/>
  <c r="D765" i="1"/>
  <c r="C765" i="1"/>
  <c r="B765" i="1"/>
  <c r="H764" i="1"/>
  <c r="G764" i="1"/>
  <c r="F764" i="1"/>
  <c r="E764" i="1"/>
  <c r="D764" i="1"/>
  <c r="C764" i="1"/>
  <c r="B764" i="1"/>
  <c r="H763" i="1"/>
  <c r="G763" i="1"/>
  <c r="F763" i="1"/>
  <c r="E763" i="1"/>
  <c r="D763" i="1"/>
  <c r="C763" i="1"/>
  <c r="B763" i="1"/>
  <c r="H762" i="1"/>
  <c r="G762" i="1"/>
  <c r="F762" i="1"/>
  <c r="E762" i="1"/>
  <c r="D762" i="1"/>
  <c r="C762" i="1"/>
  <c r="B762" i="1"/>
  <c r="H761" i="1"/>
  <c r="G761" i="1"/>
  <c r="F761" i="1"/>
  <c r="E761" i="1"/>
  <c r="D761" i="1"/>
  <c r="C761" i="1"/>
  <c r="B761" i="1"/>
  <c r="H760" i="1"/>
  <c r="G760" i="1"/>
  <c r="F760" i="1"/>
  <c r="E760" i="1"/>
  <c r="D760" i="1"/>
  <c r="C760" i="1"/>
  <c r="B760" i="1"/>
  <c r="H759" i="1"/>
  <c r="G759" i="1"/>
  <c r="F759" i="1"/>
  <c r="E759" i="1"/>
  <c r="D759" i="1"/>
  <c r="C759" i="1"/>
  <c r="B759" i="1"/>
  <c r="H758" i="1"/>
  <c r="G758" i="1"/>
  <c r="F758" i="1"/>
  <c r="E758" i="1"/>
  <c r="D758" i="1"/>
  <c r="C758" i="1"/>
  <c r="B758" i="1"/>
  <c r="H757" i="1"/>
  <c r="G757" i="1"/>
  <c r="F757" i="1"/>
  <c r="E757" i="1"/>
  <c r="D757" i="1"/>
  <c r="C757" i="1"/>
  <c r="B757" i="1"/>
  <c r="H756" i="1"/>
  <c r="G756" i="1"/>
  <c r="F756" i="1"/>
  <c r="E756" i="1"/>
  <c r="D756" i="1"/>
  <c r="C756" i="1"/>
  <c r="B756" i="1"/>
  <c r="H755" i="1"/>
  <c r="G755" i="1"/>
  <c r="F755" i="1"/>
  <c r="E755" i="1"/>
  <c r="D755" i="1"/>
  <c r="C755" i="1"/>
  <c r="B755" i="1"/>
  <c r="H754" i="1"/>
  <c r="G754" i="1"/>
  <c r="F754" i="1"/>
  <c r="E754" i="1"/>
  <c r="D754" i="1"/>
  <c r="C754" i="1"/>
  <c r="B754" i="1"/>
  <c r="H753" i="1"/>
  <c r="G753" i="1"/>
  <c r="F753" i="1"/>
  <c r="E753" i="1"/>
  <c r="D753" i="1"/>
  <c r="C753" i="1"/>
  <c r="B753" i="1"/>
  <c r="H752" i="1"/>
  <c r="G752" i="1"/>
  <c r="F752" i="1"/>
  <c r="E752" i="1"/>
  <c r="D752" i="1"/>
  <c r="C752" i="1"/>
  <c r="B752" i="1"/>
  <c r="H751" i="1"/>
  <c r="G751" i="1"/>
  <c r="F751" i="1"/>
  <c r="E751" i="1"/>
  <c r="D751" i="1"/>
  <c r="C751" i="1"/>
  <c r="B751" i="1"/>
  <c r="H750" i="1"/>
  <c r="G750" i="1"/>
  <c r="F750" i="1"/>
  <c r="E750" i="1"/>
  <c r="D750" i="1"/>
  <c r="C750" i="1"/>
  <c r="B750" i="1"/>
  <c r="H749" i="1"/>
  <c r="G749" i="1"/>
  <c r="F749" i="1"/>
  <c r="E749" i="1"/>
  <c r="D749" i="1"/>
  <c r="C749" i="1"/>
  <c r="B749" i="1"/>
  <c r="H748" i="1"/>
  <c r="G748" i="1"/>
  <c r="F748" i="1"/>
  <c r="E748" i="1"/>
  <c r="D748" i="1"/>
  <c r="C748" i="1"/>
  <c r="B748" i="1"/>
  <c r="H747" i="1"/>
  <c r="G747" i="1"/>
  <c r="F747" i="1"/>
  <c r="E747" i="1"/>
  <c r="D747" i="1"/>
  <c r="C747" i="1"/>
  <c r="B747" i="1"/>
  <c r="H746" i="1"/>
  <c r="G746" i="1"/>
  <c r="F746" i="1"/>
  <c r="E746" i="1"/>
  <c r="D746" i="1"/>
  <c r="C746" i="1"/>
  <c r="B746" i="1"/>
  <c r="H745" i="1"/>
  <c r="G745" i="1"/>
  <c r="F745" i="1"/>
  <c r="E745" i="1"/>
  <c r="D745" i="1"/>
  <c r="C745" i="1"/>
  <c r="B745" i="1"/>
  <c r="H744" i="1"/>
  <c r="G744" i="1"/>
  <c r="F744" i="1"/>
  <c r="E744" i="1"/>
  <c r="D744" i="1"/>
  <c r="C744" i="1"/>
  <c r="B744" i="1"/>
  <c r="H743" i="1"/>
  <c r="G743" i="1"/>
  <c r="F743" i="1"/>
  <c r="E743" i="1"/>
  <c r="D743" i="1"/>
  <c r="C743" i="1"/>
  <c r="B743" i="1"/>
  <c r="H742" i="1"/>
  <c r="G742" i="1"/>
  <c r="F742" i="1"/>
  <c r="E742" i="1"/>
  <c r="D742" i="1"/>
  <c r="C742" i="1"/>
  <c r="B742" i="1"/>
  <c r="H741" i="1"/>
  <c r="G741" i="1"/>
  <c r="F741" i="1"/>
  <c r="E741" i="1"/>
  <c r="D741" i="1"/>
  <c r="C741" i="1"/>
  <c r="B741" i="1"/>
  <c r="I636" i="1"/>
  <c r="E634" i="1"/>
  <c r="H632" i="1"/>
  <c r="F631" i="1"/>
  <c r="D631" i="1"/>
  <c r="B631" i="1"/>
  <c r="I629" i="1"/>
  <c r="H627" i="1"/>
  <c r="G627" i="1"/>
  <c r="F627" i="1"/>
  <c r="E627" i="1"/>
  <c r="D627" i="1"/>
  <c r="C627" i="1"/>
  <c r="B627" i="1"/>
  <c r="H626" i="1"/>
  <c r="G626" i="1"/>
  <c r="F626" i="1"/>
  <c r="E626" i="1"/>
  <c r="D626" i="1"/>
  <c r="C626" i="1"/>
  <c r="B626" i="1"/>
  <c r="H625" i="1"/>
  <c r="G625" i="1"/>
  <c r="F625" i="1"/>
  <c r="E625" i="1"/>
  <c r="D625" i="1"/>
  <c r="C625" i="1"/>
  <c r="B625" i="1"/>
  <c r="H624" i="1"/>
  <c r="G624" i="1"/>
  <c r="F624" i="1"/>
  <c r="E624" i="1"/>
  <c r="D624" i="1"/>
  <c r="C624" i="1"/>
  <c r="B624" i="1"/>
  <c r="H623" i="1"/>
  <c r="G623" i="1"/>
  <c r="F623" i="1"/>
  <c r="E623" i="1"/>
  <c r="D623" i="1"/>
  <c r="C623" i="1"/>
  <c r="B623" i="1"/>
  <c r="H622" i="1"/>
  <c r="G622" i="1"/>
  <c r="F622" i="1"/>
  <c r="E622" i="1"/>
  <c r="D622" i="1"/>
  <c r="C622" i="1"/>
  <c r="B622" i="1"/>
  <c r="H621" i="1"/>
  <c r="G621" i="1"/>
  <c r="F621" i="1"/>
  <c r="E621" i="1"/>
  <c r="D621" i="1"/>
  <c r="C621" i="1"/>
  <c r="B621" i="1"/>
  <c r="H620" i="1"/>
  <c r="G620" i="1"/>
  <c r="F620" i="1"/>
  <c r="E620" i="1"/>
  <c r="D620" i="1"/>
  <c r="C620" i="1"/>
  <c r="B620" i="1"/>
  <c r="H619" i="1"/>
  <c r="G619" i="1"/>
  <c r="F619" i="1"/>
  <c r="E619" i="1"/>
  <c r="D619" i="1"/>
  <c r="C619" i="1"/>
  <c r="B619" i="1"/>
  <c r="H618" i="1"/>
  <c r="G618" i="1"/>
  <c r="F618" i="1"/>
  <c r="E618" i="1"/>
  <c r="D618" i="1"/>
  <c r="C618" i="1"/>
  <c r="B618" i="1"/>
  <c r="H617" i="1"/>
  <c r="G617" i="1"/>
  <c r="F617" i="1"/>
  <c r="E617" i="1"/>
  <c r="D617" i="1"/>
  <c r="C617" i="1"/>
  <c r="B617" i="1"/>
  <c r="H616" i="1"/>
  <c r="G616" i="1"/>
  <c r="F616" i="1"/>
  <c r="E616" i="1"/>
  <c r="D616" i="1"/>
  <c r="C616" i="1"/>
  <c r="B616" i="1"/>
  <c r="H615" i="1"/>
  <c r="G615" i="1"/>
  <c r="F615" i="1"/>
  <c r="E615" i="1"/>
  <c r="D615" i="1"/>
  <c r="C615" i="1"/>
  <c r="B615" i="1"/>
  <c r="H614" i="1"/>
  <c r="G614" i="1"/>
  <c r="F614" i="1"/>
  <c r="E614" i="1"/>
  <c r="D614" i="1"/>
  <c r="C614" i="1"/>
  <c r="B614" i="1"/>
  <c r="H613" i="1"/>
  <c r="G613" i="1"/>
  <c r="F613" i="1"/>
  <c r="E613" i="1"/>
  <c r="D613" i="1"/>
  <c r="C613" i="1"/>
  <c r="B613" i="1"/>
  <c r="H612" i="1"/>
  <c r="G612" i="1"/>
  <c r="F612" i="1"/>
  <c r="E612" i="1"/>
  <c r="D612" i="1"/>
  <c r="C612" i="1"/>
  <c r="B612" i="1"/>
  <c r="H611" i="1"/>
  <c r="G611" i="1"/>
  <c r="F611" i="1"/>
  <c r="E611" i="1"/>
  <c r="D611" i="1"/>
  <c r="C611" i="1"/>
  <c r="B611" i="1"/>
  <c r="H610" i="1"/>
  <c r="G610" i="1"/>
  <c r="F610" i="1"/>
  <c r="E610" i="1"/>
  <c r="D610" i="1"/>
  <c r="C610" i="1"/>
  <c r="B610" i="1"/>
  <c r="H609" i="1"/>
  <c r="G609" i="1"/>
  <c r="F609" i="1"/>
  <c r="E609" i="1"/>
  <c r="D609" i="1"/>
  <c r="C609" i="1"/>
  <c r="B609" i="1"/>
  <c r="H608" i="1"/>
  <c r="G608" i="1"/>
  <c r="F608" i="1"/>
  <c r="E608" i="1"/>
  <c r="D608" i="1"/>
  <c r="C608" i="1"/>
  <c r="B608" i="1"/>
  <c r="H607" i="1"/>
  <c r="G607" i="1"/>
  <c r="F607" i="1"/>
  <c r="E607" i="1"/>
  <c r="D607" i="1"/>
  <c r="C607" i="1"/>
  <c r="B607" i="1"/>
  <c r="H606" i="1"/>
  <c r="G606" i="1"/>
  <c r="F606" i="1"/>
  <c r="E606" i="1"/>
  <c r="D606" i="1"/>
  <c r="C606" i="1"/>
  <c r="B606" i="1"/>
  <c r="H605" i="1"/>
  <c r="G605" i="1"/>
  <c r="F605" i="1"/>
  <c r="E605" i="1"/>
  <c r="D605" i="1"/>
  <c r="C605" i="1"/>
  <c r="B605" i="1"/>
  <c r="H604" i="1"/>
  <c r="G604" i="1"/>
  <c r="F604" i="1"/>
  <c r="E604" i="1"/>
  <c r="D604" i="1"/>
  <c r="C604" i="1"/>
  <c r="B604" i="1"/>
  <c r="H603" i="1"/>
  <c r="G603" i="1"/>
  <c r="F603" i="1"/>
  <c r="E603" i="1"/>
  <c r="D603" i="1"/>
  <c r="C603" i="1"/>
  <c r="B603" i="1"/>
  <c r="H602" i="1"/>
  <c r="G602" i="1"/>
  <c r="F602" i="1"/>
  <c r="E602" i="1"/>
  <c r="D602" i="1"/>
  <c r="C602" i="1"/>
  <c r="B602" i="1"/>
  <c r="H601" i="1"/>
  <c r="G601" i="1"/>
  <c r="F601" i="1"/>
  <c r="E601" i="1"/>
  <c r="D601" i="1"/>
  <c r="C601" i="1"/>
  <c r="B601" i="1"/>
  <c r="H600" i="1"/>
  <c r="G600" i="1"/>
  <c r="F600" i="1"/>
  <c r="E600" i="1"/>
  <c r="D600" i="1"/>
  <c r="C600" i="1"/>
  <c r="B600" i="1"/>
  <c r="H599" i="1"/>
  <c r="G599" i="1"/>
  <c r="F599" i="1"/>
  <c r="E599" i="1"/>
  <c r="D599" i="1"/>
  <c r="C599" i="1"/>
  <c r="B599" i="1"/>
  <c r="H598" i="1"/>
  <c r="G598" i="1"/>
  <c r="F598" i="1"/>
  <c r="E598" i="1"/>
  <c r="D598" i="1"/>
  <c r="C598" i="1"/>
  <c r="B598" i="1"/>
  <c r="H597" i="1"/>
  <c r="G597" i="1"/>
  <c r="F597" i="1"/>
  <c r="E597" i="1"/>
  <c r="D597" i="1"/>
  <c r="C597" i="1"/>
  <c r="B597" i="1"/>
  <c r="I481" i="1"/>
  <c r="I482" i="1" s="1"/>
  <c r="I483" i="1" s="1"/>
  <c r="I485" i="1" s="1"/>
  <c r="I486" i="1" s="1"/>
  <c r="E479" i="1"/>
  <c r="H477" i="1"/>
  <c r="F476" i="1"/>
  <c r="D476" i="1"/>
  <c r="B476" i="1"/>
  <c r="I474" i="1"/>
  <c r="H471" i="1"/>
  <c r="G471" i="1"/>
  <c r="F471" i="1"/>
  <c r="E471" i="1"/>
  <c r="D471" i="1"/>
  <c r="C471" i="1"/>
  <c r="B471" i="1"/>
  <c r="H470" i="1"/>
  <c r="G470" i="1"/>
  <c r="F470" i="1"/>
  <c r="E470" i="1"/>
  <c r="D470" i="1"/>
  <c r="C470" i="1"/>
  <c r="B470" i="1"/>
  <c r="H469" i="1"/>
  <c r="G469" i="1"/>
  <c r="F469" i="1"/>
  <c r="E469" i="1"/>
  <c r="D469" i="1"/>
  <c r="C469" i="1"/>
  <c r="B469" i="1"/>
  <c r="H468" i="1"/>
  <c r="G468" i="1"/>
  <c r="F468" i="1"/>
  <c r="E468" i="1"/>
  <c r="D468" i="1"/>
  <c r="C468" i="1"/>
  <c r="B468" i="1"/>
  <c r="H467" i="1"/>
  <c r="G467" i="1"/>
  <c r="F467" i="1"/>
  <c r="E467" i="1"/>
  <c r="D467" i="1"/>
  <c r="C467" i="1"/>
  <c r="B467" i="1"/>
  <c r="H466" i="1"/>
  <c r="G466" i="1"/>
  <c r="F466" i="1"/>
  <c r="E466" i="1"/>
  <c r="D466" i="1"/>
  <c r="C466" i="1"/>
  <c r="B466" i="1"/>
  <c r="H465" i="1"/>
  <c r="G465" i="1"/>
  <c r="F465" i="1"/>
  <c r="E465" i="1"/>
  <c r="D465" i="1"/>
  <c r="C465" i="1"/>
  <c r="B465" i="1"/>
  <c r="H464" i="1"/>
  <c r="G464" i="1"/>
  <c r="F464" i="1"/>
  <c r="E464" i="1"/>
  <c r="D464" i="1"/>
  <c r="C464" i="1"/>
  <c r="B464" i="1"/>
  <c r="H463" i="1"/>
  <c r="G463" i="1"/>
  <c r="F463" i="1"/>
  <c r="E463" i="1"/>
  <c r="D463" i="1"/>
  <c r="C463" i="1"/>
  <c r="B463" i="1"/>
  <c r="H462" i="1"/>
  <c r="G462" i="1"/>
  <c r="F462" i="1"/>
  <c r="E462" i="1"/>
  <c r="D462" i="1"/>
  <c r="C462" i="1"/>
  <c r="B462" i="1"/>
  <c r="H461" i="1"/>
  <c r="G461" i="1"/>
  <c r="F461" i="1"/>
  <c r="E461" i="1"/>
  <c r="D461" i="1"/>
  <c r="C461" i="1"/>
  <c r="B461" i="1"/>
  <c r="H460" i="1"/>
  <c r="G460" i="1"/>
  <c r="F460" i="1"/>
  <c r="E460" i="1"/>
  <c r="D460" i="1"/>
  <c r="C460" i="1"/>
  <c r="B460" i="1"/>
  <c r="H459" i="1"/>
  <c r="G459" i="1"/>
  <c r="F459" i="1"/>
  <c r="E459" i="1"/>
  <c r="D459" i="1"/>
  <c r="C459" i="1"/>
  <c r="B459" i="1"/>
  <c r="H458" i="1"/>
  <c r="G458" i="1"/>
  <c r="F458" i="1"/>
  <c r="E458" i="1"/>
  <c r="D458" i="1"/>
  <c r="C458" i="1"/>
  <c r="B458" i="1"/>
  <c r="H457" i="1"/>
  <c r="G457" i="1"/>
  <c r="F457" i="1"/>
  <c r="E457" i="1"/>
  <c r="D457" i="1"/>
  <c r="C457" i="1"/>
  <c r="B457" i="1"/>
  <c r="H456" i="1"/>
  <c r="G456" i="1"/>
  <c r="F456" i="1"/>
  <c r="E456" i="1"/>
  <c r="D456" i="1"/>
  <c r="C456" i="1"/>
  <c r="B456" i="1"/>
  <c r="H455" i="1"/>
  <c r="G455" i="1"/>
  <c r="F455" i="1"/>
  <c r="E455" i="1"/>
  <c r="D455" i="1"/>
  <c r="C455" i="1"/>
  <c r="B455" i="1"/>
  <c r="H454" i="1"/>
  <c r="G454" i="1"/>
  <c r="F454" i="1"/>
  <c r="E454" i="1"/>
  <c r="D454" i="1"/>
  <c r="C454" i="1"/>
  <c r="B454" i="1"/>
  <c r="H453" i="1"/>
  <c r="G453" i="1"/>
  <c r="F453" i="1"/>
  <c r="E453" i="1"/>
  <c r="D453" i="1"/>
  <c r="C453" i="1"/>
  <c r="B453" i="1"/>
  <c r="H452" i="1"/>
  <c r="G452" i="1"/>
  <c r="F452" i="1"/>
  <c r="E452" i="1"/>
  <c r="D452" i="1"/>
  <c r="C452" i="1"/>
  <c r="B452" i="1"/>
  <c r="H451" i="1"/>
  <c r="G451" i="1"/>
  <c r="F451" i="1"/>
  <c r="E451" i="1"/>
  <c r="D451" i="1"/>
  <c r="C451" i="1"/>
  <c r="B451" i="1"/>
  <c r="H450" i="1"/>
  <c r="G450" i="1"/>
  <c r="F450" i="1"/>
  <c r="E450" i="1"/>
  <c r="D450" i="1"/>
  <c r="C450" i="1"/>
  <c r="B450" i="1"/>
  <c r="H449" i="1"/>
  <c r="G449" i="1"/>
  <c r="F449" i="1"/>
  <c r="E449" i="1"/>
  <c r="D449" i="1"/>
  <c r="C449" i="1"/>
  <c r="B449" i="1"/>
  <c r="H448" i="1"/>
  <c r="G448" i="1"/>
  <c r="F448" i="1"/>
  <c r="E448" i="1"/>
  <c r="D448" i="1"/>
  <c r="C448" i="1"/>
  <c r="B448" i="1"/>
  <c r="H447" i="1"/>
  <c r="G447" i="1"/>
  <c r="F447" i="1"/>
  <c r="E447" i="1"/>
  <c r="D447" i="1"/>
  <c r="C447" i="1"/>
  <c r="B447" i="1"/>
  <c r="H446" i="1"/>
  <c r="G446" i="1"/>
  <c r="F446" i="1"/>
  <c r="E446" i="1"/>
  <c r="D446" i="1"/>
  <c r="C446" i="1"/>
  <c r="B446" i="1"/>
  <c r="H445" i="1"/>
  <c r="G445" i="1"/>
  <c r="F445" i="1"/>
  <c r="E445" i="1"/>
  <c r="D445" i="1"/>
  <c r="C445" i="1"/>
  <c r="B445" i="1"/>
  <c r="H444" i="1"/>
  <c r="G444" i="1"/>
  <c r="F444" i="1"/>
  <c r="E444" i="1"/>
  <c r="D444" i="1"/>
  <c r="C444" i="1"/>
  <c r="B444" i="1"/>
  <c r="H443" i="1"/>
  <c r="G443" i="1"/>
  <c r="F443" i="1"/>
  <c r="E443" i="1"/>
  <c r="D443" i="1"/>
  <c r="C443" i="1"/>
  <c r="B443" i="1"/>
  <c r="H442" i="1"/>
  <c r="G442" i="1"/>
  <c r="F442" i="1"/>
  <c r="E442" i="1"/>
  <c r="D442" i="1"/>
  <c r="C442" i="1"/>
  <c r="B442" i="1"/>
  <c r="I328" i="1"/>
  <c r="I329" i="1" s="1"/>
  <c r="I330" i="1" s="1"/>
  <c r="I332" i="1" s="1"/>
  <c r="E326" i="1"/>
  <c r="H324" i="1"/>
  <c r="F323" i="1"/>
  <c r="D323" i="1"/>
  <c r="B323" i="1"/>
  <c r="I321" i="1"/>
  <c r="H319" i="1"/>
  <c r="G319" i="1"/>
  <c r="F319" i="1"/>
  <c r="E319" i="1"/>
  <c r="D319" i="1"/>
  <c r="C319" i="1"/>
  <c r="B319" i="1"/>
  <c r="H318" i="1"/>
  <c r="G318" i="1"/>
  <c r="F318" i="1"/>
  <c r="E318" i="1"/>
  <c r="D318" i="1"/>
  <c r="C318" i="1"/>
  <c r="B318" i="1"/>
  <c r="H317" i="1"/>
  <c r="G317" i="1"/>
  <c r="F317" i="1"/>
  <c r="E317" i="1"/>
  <c r="D317" i="1"/>
  <c r="C317" i="1"/>
  <c r="B317" i="1"/>
  <c r="H316" i="1"/>
  <c r="G316" i="1"/>
  <c r="F316" i="1"/>
  <c r="E316" i="1"/>
  <c r="D316" i="1"/>
  <c r="C316" i="1"/>
  <c r="B316" i="1"/>
  <c r="H315" i="1"/>
  <c r="G315" i="1"/>
  <c r="F315" i="1"/>
  <c r="E315" i="1"/>
  <c r="D315" i="1"/>
  <c r="C315" i="1"/>
  <c r="B315" i="1"/>
  <c r="H314" i="1"/>
  <c r="G314" i="1"/>
  <c r="F314" i="1"/>
  <c r="E314" i="1"/>
  <c r="D314" i="1"/>
  <c r="C314" i="1"/>
  <c r="B314" i="1"/>
  <c r="H313" i="1"/>
  <c r="G313" i="1"/>
  <c r="F313" i="1"/>
  <c r="E313" i="1"/>
  <c r="D313" i="1"/>
  <c r="C313" i="1"/>
  <c r="B313" i="1"/>
  <c r="H312" i="1"/>
  <c r="G312" i="1"/>
  <c r="F312" i="1"/>
  <c r="E312" i="1"/>
  <c r="D312" i="1"/>
  <c r="C312" i="1"/>
  <c r="B312" i="1"/>
  <c r="H311" i="1"/>
  <c r="G311" i="1"/>
  <c r="F311" i="1"/>
  <c r="E311" i="1"/>
  <c r="D311" i="1"/>
  <c r="C311" i="1"/>
  <c r="B311" i="1"/>
  <c r="H310" i="1"/>
  <c r="G310" i="1"/>
  <c r="F310" i="1"/>
  <c r="E310" i="1"/>
  <c r="D310" i="1"/>
  <c r="C310" i="1"/>
  <c r="B310" i="1"/>
  <c r="H309" i="1"/>
  <c r="G309" i="1"/>
  <c r="F309" i="1"/>
  <c r="E309" i="1"/>
  <c r="D309" i="1"/>
  <c r="C309" i="1"/>
  <c r="B309" i="1"/>
  <c r="H308" i="1"/>
  <c r="G308" i="1"/>
  <c r="F308" i="1"/>
  <c r="E308" i="1"/>
  <c r="D308" i="1"/>
  <c r="C308" i="1"/>
  <c r="B308" i="1"/>
  <c r="H307" i="1"/>
  <c r="G307" i="1"/>
  <c r="F307" i="1"/>
  <c r="E307" i="1"/>
  <c r="D307" i="1"/>
  <c r="C307" i="1"/>
  <c r="B307" i="1"/>
  <c r="H306" i="1"/>
  <c r="G306" i="1"/>
  <c r="F306" i="1"/>
  <c r="E306" i="1"/>
  <c r="D306" i="1"/>
  <c r="C306" i="1"/>
  <c r="B306" i="1"/>
  <c r="H305" i="1"/>
  <c r="G305" i="1"/>
  <c r="F305" i="1"/>
  <c r="E305" i="1"/>
  <c r="D305" i="1"/>
  <c r="C305" i="1"/>
  <c r="B305" i="1"/>
  <c r="H304" i="1"/>
  <c r="G304" i="1"/>
  <c r="F304" i="1"/>
  <c r="E304" i="1"/>
  <c r="D304" i="1"/>
  <c r="C304" i="1"/>
  <c r="B304" i="1"/>
  <c r="H303" i="1"/>
  <c r="G303" i="1"/>
  <c r="F303" i="1"/>
  <c r="E303" i="1"/>
  <c r="D303" i="1"/>
  <c r="C303" i="1"/>
  <c r="B303" i="1"/>
  <c r="H302" i="1"/>
  <c r="G302" i="1"/>
  <c r="F302" i="1"/>
  <c r="E302" i="1"/>
  <c r="D302" i="1"/>
  <c r="C302" i="1"/>
  <c r="B302" i="1"/>
  <c r="H301" i="1"/>
  <c r="G301" i="1"/>
  <c r="F301" i="1"/>
  <c r="E301" i="1"/>
  <c r="D301" i="1"/>
  <c r="C301" i="1"/>
  <c r="B301" i="1"/>
  <c r="H300" i="1"/>
  <c r="G300" i="1"/>
  <c r="F300" i="1"/>
  <c r="E300" i="1"/>
  <c r="D300" i="1"/>
  <c r="C300" i="1"/>
  <c r="B300" i="1"/>
  <c r="H299" i="1"/>
  <c r="G299" i="1"/>
  <c r="F299" i="1"/>
  <c r="E299" i="1"/>
  <c r="D299" i="1"/>
  <c r="C299" i="1"/>
  <c r="B299" i="1"/>
  <c r="H298" i="1"/>
  <c r="G298" i="1"/>
  <c r="F298" i="1"/>
  <c r="E298" i="1"/>
  <c r="D298" i="1"/>
  <c r="C298" i="1"/>
  <c r="B298" i="1"/>
  <c r="H297" i="1"/>
  <c r="G297" i="1"/>
  <c r="F297" i="1"/>
  <c r="E297" i="1"/>
  <c r="D297" i="1"/>
  <c r="C297" i="1"/>
  <c r="B297" i="1"/>
  <c r="H296" i="1"/>
  <c r="G296" i="1"/>
  <c r="F296" i="1"/>
  <c r="E296" i="1"/>
  <c r="D296" i="1"/>
  <c r="C296" i="1"/>
  <c r="B296" i="1"/>
  <c r="H295" i="1"/>
  <c r="G295" i="1"/>
  <c r="F295" i="1"/>
  <c r="E295" i="1"/>
  <c r="D295" i="1"/>
  <c r="C295" i="1"/>
  <c r="B295" i="1"/>
  <c r="H294" i="1"/>
  <c r="G294" i="1"/>
  <c r="F294" i="1"/>
  <c r="E294" i="1"/>
  <c r="D294" i="1"/>
  <c r="C294" i="1"/>
  <c r="B294" i="1"/>
  <c r="H293" i="1"/>
  <c r="G293" i="1"/>
  <c r="F293" i="1"/>
  <c r="E293" i="1"/>
  <c r="D293" i="1"/>
  <c r="C293" i="1"/>
  <c r="B293" i="1"/>
  <c r="H292" i="1"/>
  <c r="G292" i="1"/>
  <c r="F292" i="1"/>
  <c r="E292" i="1"/>
  <c r="D292" i="1"/>
  <c r="C292" i="1"/>
  <c r="B292" i="1"/>
  <c r="H291" i="1"/>
  <c r="G291" i="1"/>
  <c r="F291" i="1"/>
  <c r="E291" i="1"/>
  <c r="D291" i="1"/>
  <c r="C291" i="1"/>
  <c r="B291" i="1"/>
  <c r="H290" i="1"/>
  <c r="G290" i="1"/>
  <c r="F290" i="1"/>
  <c r="E290" i="1"/>
  <c r="D290" i="1"/>
  <c r="D321" i="1" s="1"/>
  <c r="C290" i="1"/>
  <c r="B290" i="1"/>
  <c r="J290" i="1" s="1"/>
  <c r="H289" i="1"/>
  <c r="G289" i="1"/>
  <c r="F289" i="1"/>
  <c r="E289" i="1"/>
  <c r="D289" i="1"/>
  <c r="C289" i="1"/>
  <c r="B289" i="1"/>
  <c r="I185" i="1"/>
  <c r="I186" i="1" s="1"/>
  <c r="I187" i="1" s="1"/>
  <c r="I189" i="1" s="1"/>
  <c r="E183" i="1"/>
  <c r="H181" i="1"/>
  <c r="F180" i="1"/>
  <c r="D180" i="1"/>
  <c r="B180" i="1"/>
  <c r="I178" i="1"/>
  <c r="H173" i="1"/>
  <c r="G173" i="1"/>
  <c r="F173" i="1"/>
  <c r="E173" i="1"/>
  <c r="D173" i="1"/>
  <c r="C173" i="1"/>
  <c r="B173" i="1"/>
  <c r="H172" i="1"/>
  <c r="G172" i="1"/>
  <c r="F172" i="1"/>
  <c r="E172" i="1"/>
  <c r="D172" i="1"/>
  <c r="C172" i="1"/>
  <c r="B172" i="1"/>
  <c r="H171" i="1"/>
  <c r="G171" i="1"/>
  <c r="F171" i="1"/>
  <c r="E171" i="1"/>
  <c r="D171" i="1"/>
  <c r="C171" i="1"/>
  <c r="B171" i="1"/>
  <c r="H170" i="1"/>
  <c r="G170" i="1"/>
  <c r="F170" i="1"/>
  <c r="E170" i="1"/>
  <c r="D170" i="1"/>
  <c r="C170" i="1"/>
  <c r="B170" i="1"/>
  <c r="H169" i="1"/>
  <c r="G169" i="1"/>
  <c r="F169" i="1"/>
  <c r="E169" i="1"/>
  <c r="D169" i="1"/>
  <c r="C169" i="1"/>
  <c r="B169" i="1"/>
  <c r="H168" i="1"/>
  <c r="G168" i="1"/>
  <c r="F168" i="1"/>
  <c r="E168" i="1"/>
  <c r="D168" i="1"/>
  <c r="C168" i="1"/>
  <c r="B168" i="1"/>
  <c r="H167" i="1"/>
  <c r="G167" i="1"/>
  <c r="F167" i="1"/>
  <c r="E167" i="1"/>
  <c r="D167" i="1"/>
  <c r="C167" i="1"/>
  <c r="B167" i="1"/>
  <c r="H166" i="1"/>
  <c r="G166" i="1"/>
  <c r="F166" i="1"/>
  <c r="E166" i="1"/>
  <c r="D166" i="1"/>
  <c r="C166" i="1"/>
  <c r="B166" i="1"/>
  <c r="H165" i="1"/>
  <c r="G165" i="1"/>
  <c r="F165" i="1"/>
  <c r="E165" i="1"/>
  <c r="D165" i="1"/>
  <c r="C165" i="1"/>
  <c r="B165" i="1"/>
  <c r="H164" i="1"/>
  <c r="G164" i="1"/>
  <c r="F164" i="1"/>
  <c r="E164" i="1"/>
  <c r="D164" i="1"/>
  <c r="C164" i="1"/>
  <c r="B164" i="1"/>
  <c r="H163" i="1"/>
  <c r="G163" i="1"/>
  <c r="F163" i="1"/>
  <c r="E163" i="1"/>
  <c r="D163" i="1"/>
  <c r="C163" i="1"/>
  <c r="B163" i="1"/>
  <c r="H162" i="1"/>
  <c r="G162" i="1"/>
  <c r="F162" i="1"/>
  <c r="E162" i="1"/>
  <c r="D162" i="1"/>
  <c r="C162" i="1"/>
  <c r="B162" i="1"/>
  <c r="H161" i="1"/>
  <c r="G161" i="1"/>
  <c r="F161" i="1"/>
  <c r="E161" i="1"/>
  <c r="D161" i="1"/>
  <c r="C161" i="1"/>
  <c r="B161" i="1"/>
  <c r="H160" i="1"/>
  <c r="G160" i="1"/>
  <c r="F160" i="1"/>
  <c r="E160" i="1"/>
  <c r="D160" i="1"/>
  <c r="C160" i="1"/>
  <c r="B160" i="1"/>
  <c r="H159" i="1"/>
  <c r="G159" i="1"/>
  <c r="F159" i="1"/>
  <c r="E159" i="1"/>
  <c r="D159" i="1"/>
  <c r="C159" i="1"/>
  <c r="B159" i="1"/>
  <c r="H158" i="1"/>
  <c r="G158" i="1"/>
  <c r="F158" i="1"/>
  <c r="E158" i="1"/>
  <c r="D158" i="1"/>
  <c r="C158" i="1"/>
  <c r="B158" i="1"/>
  <c r="H157" i="1"/>
  <c r="G157" i="1"/>
  <c r="F157" i="1"/>
  <c r="E157" i="1"/>
  <c r="D157" i="1"/>
  <c r="C157" i="1"/>
  <c r="B157" i="1"/>
  <c r="H156" i="1"/>
  <c r="G156" i="1"/>
  <c r="F156" i="1"/>
  <c r="E156" i="1"/>
  <c r="D156" i="1"/>
  <c r="C156" i="1"/>
  <c r="B156" i="1"/>
  <c r="H155" i="1"/>
  <c r="G155" i="1"/>
  <c r="F155" i="1"/>
  <c r="E155" i="1"/>
  <c r="D155" i="1"/>
  <c r="C155" i="1"/>
  <c r="B155" i="1"/>
  <c r="H154" i="1"/>
  <c r="G154" i="1"/>
  <c r="F154" i="1"/>
  <c r="E154" i="1"/>
  <c r="D154" i="1"/>
  <c r="C154" i="1"/>
  <c r="B154" i="1"/>
  <c r="H153" i="1"/>
  <c r="G153" i="1"/>
  <c r="F153" i="1"/>
  <c r="E153" i="1"/>
  <c r="D153" i="1"/>
  <c r="C153" i="1"/>
  <c r="B153" i="1"/>
  <c r="H152" i="1"/>
  <c r="G152" i="1"/>
  <c r="F152" i="1"/>
  <c r="E152" i="1"/>
  <c r="D152" i="1"/>
  <c r="C152" i="1"/>
  <c r="B152" i="1"/>
  <c r="H151" i="1"/>
  <c r="G151" i="1"/>
  <c r="F151" i="1"/>
  <c r="E151" i="1"/>
  <c r="D151" i="1"/>
  <c r="C151" i="1"/>
  <c r="B151" i="1"/>
  <c r="H150" i="1"/>
  <c r="G150" i="1"/>
  <c r="F150" i="1"/>
  <c r="E150" i="1"/>
  <c r="D150" i="1"/>
  <c r="C150" i="1"/>
  <c r="B150" i="1"/>
  <c r="H149" i="1"/>
  <c r="G149" i="1"/>
  <c r="F149" i="1"/>
  <c r="E149" i="1"/>
  <c r="D149" i="1"/>
  <c r="C149" i="1"/>
  <c r="B149" i="1"/>
  <c r="H148" i="1"/>
  <c r="G148" i="1"/>
  <c r="F148" i="1"/>
  <c r="E148" i="1"/>
  <c r="D148" i="1"/>
  <c r="C148" i="1"/>
  <c r="B148" i="1"/>
  <c r="H147" i="1"/>
  <c r="G147" i="1"/>
  <c r="F147" i="1"/>
  <c r="E147" i="1"/>
  <c r="D147" i="1"/>
  <c r="C147" i="1"/>
  <c r="B147" i="1"/>
  <c r="H146" i="1"/>
  <c r="G146" i="1"/>
  <c r="F146" i="1"/>
  <c r="E146" i="1"/>
  <c r="D146" i="1"/>
  <c r="C146" i="1"/>
  <c r="B146" i="1"/>
  <c r="I46" i="1"/>
  <c r="I47" i="1" s="1"/>
  <c r="E44" i="1"/>
  <c r="H42" i="1"/>
  <c r="F41" i="1"/>
  <c r="D41" i="1"/>
  <c r="B41" i="1"/>
  <c r="I39" i="1"/>
  <c r="H37" i="1"/>
  <c r="G37" i="1"/>
  <c r="F37" i="1"/>
  <c r="E37" i="1"/>
  <c r="D37" i="1"/>
  <c r="C37" i="1"/>
  <c r="B37" i="1"/>
  <c r="H36" i="1"/>
  <c r="G36" i="1"/>
  <c r="F36" i="1"/>
  <c r="E36" i="1"/>
  <c r="D36" i="1"/>
  <c r="C36" i="1"/>
  <c r="B36" i="1"/>
  <c r="H35" i="1"/>
  <c r="G35" i="1"/>
  <c r="F35" i="1"/>
  <c r="E35" i="1"/>
  <c r="D35" i="1"/>
  <c r="C35" i="1"/>
  <c r="B35" i="1"/>
  <c r="H34" i="1"/>
  <c r="G34" i="1"/>
  <c r="F34" i="1"/>
  <c r="E34" i="1"/>
  <c r="D34" i="1"/>
  <c r="C34" i="1"/>
  <c r="B34" i="1"/>
  <c r="J33" i="1"/>
  <c r="H32" i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B26" i="1"/>
  <c r="H25" i="1"/>
  <c r="G25" i="1"/>
  <c r="F25" i="1"/>
  <c r="E25" i="1"/>
  <c r="D25" i="1"/>
  <c r="C25" i="1"/>
  <c r="B25" i="1"/>
  <c r="H24" i="1"/>
  <c r="G24" i="1"/>
  <c r="F24" i="1"/>
  <c r="E24" i="1"/>
  <c r="D24" i="1"/>
  <c r="C24" i="1"/>
  <c r="B24" i="1"/>
  <c r="H23" i="1"/>
  <c r="G23" i="1"/>
  <c r="F23" i="1"/>
  <c r="E23" i="1"/>
  <c r="D23" i="1"/>
  <c r="C23" i="1"/>
  <c r="B23" i="1"/>
  <c r="H22" i="1"/>
  <c r="G22" i="1"/>
  <c r="F22" i="1"/>
  <c r="E22" i="1"/>
  <c r="D22" i="1"/>
  <c r="C22" i="1"/>
  <c r="B22" i="1"/>
  <c r="H21" i="1"/>
  <c r="G21" i="1"/>
  <c r="F21" i="1"/>
  <c r="E21" i="1"/>
  <c r="D21" i="1"/>
  <c r="C21" i="1"/>
  <c r="B21" i="1"/>
  <c r="H20" i="1"/>
  <c r="G20" i="1"/>
  <c r="F20" i="1"/>
  <c r="E20" i="1"/>
  <c r="D20" i="1"/>
  <c r="C20" i="1"/>
  <c r="B20" i="1"/>
  <c r="H19" i="1"/>
  <c r="G19" i="1"/>
  <c r="F19" i="1"/>
  <c r="E19" i="1"/>
  <c r="D19" i="1"/>
  <c r="C19" i="1"/>
  <c r="B19" i="1"/>
  <c r="H18" i="1"/>
  <c r="G18" i="1"/>
  <c r="F18" i="1"/>
  <c r="E18" i="1"/>
  <c r="D18" i="1"/>
  <c r="C18" i="1"/>
  <c r="B18" i="1"/>
  <c r="H17" i="1"/>
  <c r="G17" i="1"/>
  <c r="F17" i="1"/>
  <c r="E17" i="1"/>
  <c r="D17" i="1"/>
  <c r="C17" i="1"/>
  <c r="B17" i="1"/>
  <c r="H16" i="1"/>
  <c r="G16" i="1"/>
  <c r="F16" i="1"/>
  <c r="E16" i="1"/>
  <c r="D16" i="1"/>
  <c r="C16" i="1"/>
  <c r="B16" i="1"/>
  <c r="H15" i="1"/>
  <c r="G15" i="1"/>
  <c r="F15" i="1"/>
  <c r="E15" i="1"/>
  <c r="D15" i="1"/>
  <c r="C15" i="1"/>
  <c r="B15" i="1"/>
  <c r="H14" i="1"/>
  <c r="G14" i="1"/>
  <c r="F14" i="1"/>
  <c r="E14" i="1"/>
  <c r="D14" i="1"/>
  <c r="C14" i="1"/>
  <c r="B14" i="1"/>
  <c r="H13" i="1"/>
  <c r="G13" i="1"/>
  <c r="F13" i="1"/>
  <c r="E13" i="1"/>
  <c r="D13" i="1"/>
  <c r="C13" i="1"/>
  <c r="B13" i="1"/>
  <c r="H12" i="1"/>
  <c r="G12" i="1"/>
  <c r="F12" i="1"/>
  <c r="E12" i="1"/>
  <c r="D12" i="1"/>
  <c r="C12" i="1"/>
  <c r="B12" i="1"/>
  <c r="H11" i="1"/>
  <c r="G11" i="1"/>
  <c r="F11" i="1"/>
  <c r="E11" i="1"/>
  <c r="D11" i="1"/>
  <c r="C11" i="1"/>
  <c r="B11" i="1"/>
  <c r="H10" i="1"/>
  <c r="G10" i="1"/>
  <c r="F10" i="1"/>
  <c r="E10" i="1"/>
  <c r="D10" i="1"/>
  <c r="C10" i="1"/>
  <c r="B10" i="1"/>
  <c r="H9" i="1"/>
  <c r="G9" i="1"/>
  <c r="F9" i="1"/>
  <c r="E9" i="1"/>
  <c r="D9" i="1"/>
  <c r="C9" i="1"/>
  <c r="B9" i="1"/>
  <c r="H8" i="1"/>
  <c r="G8" i="1"/>
  <c r="F8" i="1"/>
  <c r="E8" i="1"/>
  <c r="D8" i="1"/>
  <c r="C8" i="1"/>
  <c r="B8" i="1"/>
  <c r="H7" i="1"/>
  <c r="G7" i="1"/>
  <c r="F7" i="1"/>
  <c r="E7" i="1"/>
  <c r="D7" i="1"/>
  <c r="C7" i="1"/>
  <c r="B7" i="1"/>
  <c r="E178" i="1" l="1"/>
  <c r="G178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C474" i="1"/>
  <c r="E474" i="1"/>
  <c r="D629" i="1"/>
  <c r="D1070" i="1"/>
  <c r="F1070" i="1"/>
  <c r="H1070" i="1"/>
  <c r="J1039" i="1"/>
  <c r="E1070" i="1"/>
  <c r="G1070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C39" i="1"/>
  <c r="E39" i="1"/>
  <c r="G39" i="1"/>
  <c r="J8" i="1"/>
  <c r="D39" i="1"/>
  <c r="F39" i="1"/>
  <c r="H39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4" i="1"/>
  <c r="J35" i="1"/>
  <c r="J36" i="1"/>
  <c r="J37" i="1"/>
  <c r="F321" i="1"/>
  <c r="H321" i="1"/>
  <c r="J291" i="1"/>
  <c r="J292" i="1"/>
  <c r="J293" i="1"/>
  <c r="J294" i="1"/>
  <c r="J295" i="1"/>
  <c r="J296" i="1"/>
  <c r="J297" i="1"/>
  <c r="J298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71" i="1"/>
  <c r="J172" i="1"/>
  <c r="J173" i="1"/>
  <c r="G474" i="1"/>
  <c r="F629" i="1"/>
  <c r="H629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C1070" i="1"/>
  <c r="J1193" i="1"/>
  <c r="J1194" i="1"/>
  <c r="J1195" i="1"/>
  <c r="J1196" i="1"/>
  <c r="J1197" i="1"/>
  <c r="J1198" i="1"/>
  <c r="J1199" i="1"/>
  <c r="F42" i="1"/>
  <c r="F44" i="1" s="1"/>
  <c r="J624" i="1"/>
  <c r="J625" i="1"/>
  <c r="J626" i="1"/>
  <c r="J627" i="1"/>
  <c r="J741" i="1"/>
  <c r="D773" i="1"/>
  <c r="F773" i="1"/>
  <c r="H773" i="1"/>
  <c r="J742" i="1"/>
  <c r="J743" i="1"/>
  <c r="J744" i="1"/>
  <c r="J745" i="1"/>
  <c r="J746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D927" i="1"/>
  <c r="F927" i="1"/>
  <c r="H927" i="1"/>
  <c r="J896" i="1"/>
  <c r="E927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B1218" i="1"/>
  <c r="D1218" i="1"/>
  <c r="F1218" i="1"/>
  <c r="H1218" i="1"/>
  <c r="D42" i="1"/>
  <c r="J41" i="1"/>
  <c r="B178" i="1"/>
  <c r="D178" i="1"/>
  <c r="D181" i="1" s="1"/>
  <c r="F178" i="1"/>
  <c r="H178" i="1"/>
  <c r="C178" i="1"/>
  <c r="C321" i="1"/>
  <c r="E321" i="1"/>
  <c r="G321" i="1"/>
  <c r="F324" i="1" s="1"/>
  <c r="J289" i="1"/>
  <c r="B321" i="1"/>
  <c r="B324" i="1" s="1"/>
  <c r="I333" i="1"/>
  <c r="J474" i="1"/>
  <c r="D474" i="1"/>
  <c r="F474" i="1"/>
  <c r="H474" i="1"/>
  <c r="J7" i="1"/>
  <c r="B39" i="1"/>
  <c r="B42" i="1" s="1"/>
  <c r="F46" i="1"/>
  <c r="F47" i="1" s="1"/>
  <c r="F48" i="1" s="1"/>
  <c r="I48" i="1"/>
  <c r="I50" i="1" s="1"/>
  <c r="I51" i="1" s="1"/>
  <c r="J146" i="1"/>
  <c r="B181" i="1"/>
  <c r="B185" i="1" s="1"/>
  <c r="B186" i="1" s="1"/>
  <c r="J180" i="1"/>
  <c r="F181" i="1"/>
  <c r="F183" i="1" s="1"/>
  <c r="I190" i="1"/>
  <c r="D324" i="1"/>
  <c r="J323" i="1"/>
  <c r="B474" i="1"/>
  <c r="B477" i="1" s="1"/>
  <c r="I637" i="1"/>
  <c r="K474" i="1"/>
  <c r="D477" i="1"/>
  <c r="J476" i="1"/>
  <c r="J598" i="1"/>
  <c r="B629" i="1"/>
  <c r="J631" i="1"/>
  <c r="J775" i="1"/>
  <c r="B927" i="1"/>
  <c r="J895" i="1"/>
  <c r="D930" i="1"/>
  <c r="B1221" i="1"/>
  <c r="F1221" i="1"/>
  <c r="C629" i="1"/>
  <c r="E629" i="1"/>
  <c r="D632" i="1" s="1"/>
  <c r="G629" i="1"/>
  <c r="F632" i="1" s="1"/>
  <c r="F634" i="1" s="1"/>
  <c r="J597" i="1"/>
  <c r="C773" i="1"/>
  <c r="E773" i="1"/>
  <c r="D776" i="1" s="1"/>
  <c r="G773" i="1"/>
  <c r="F776" i="1" s="1"/>
  <c r="B773" i="1"/>
  <c r="B776" i="1" s="1"/>
  <c r="I782" i="1"/>
  <c r="I784" i="1" s="1"/>
  <c r="I785" i="1" s="1"/>
  <c r="C927" i="1"/>
  <c r="B930" i="1" s="1"/>
  <c r="G927" i="1"/>
  <c r="J929" i="1"/>
  <c r="F930" i="1"/>
  <c r="F932" i="1" s="1"/>
  <c r="B1070" i="1"/>
  <c r="J1038" i="1"/>
  <c r="I1079" i="1"/>
  <c r="I1081" i="1" s="1"/>
  <c r="I1082" i="1" s="1"/>
  <c r="I936" i="1"/>
  <c r="I938" i="1" s="1"/>
  <c r="I939" i="1" s="1"/>
  <c r="B1073" i="1"/>
  <c r="B1077" i="1" s="1"/>
  <c r="B1078" i="1" s="1"/>
  <c r="J1072" i="1"/>
  <c r="F1073" i="1"/>
  <c r="F1075" i="1" s="1"/>
  <c r="D1221" i="1"/>
  <c r="J1186" i="1"/>
  <c r="J1220" i="1"/>
  <c r="D1073" i="1" l="1"/>
  <c r="F1077" i="1"/>
  <c r="F1078" i="1" s="1"/>
  <c r="F934" i="1"/>
  <c r="F935" i="1" s="1"/>
  <c r="F1079" i="1"/>
  <c r="F477" i="1"/>
  <c r="J477" i="1" s="1"/>
  <c r="J481" i="1" s="1"/>
  <c r="J482" i="1" s="1"/>
  <c r="J773" i="1"/>
  <c r="J930" i="1"/>
  <c r="B932" i="1"/>
  <c r="B934" i="1"/>
  <c r="B935" i="1" s="1"/>
  <c r="F326" i="1"/>
  <c r="F330" i="1" s="1"/>
  <c r="F328" i="1"/>
  <c r="F329" i="1" s="1"/>
  <c r="F778" i="1"/>
  <c r="F782" i="1" s="1"/>
  <c r="F780" i="1"/>
  <c r="F781" i="1" s="1"/>
  <c r="J1218" i="1"/>
  <c r="K1218" i="1"/>
  <c r="J1070" i="1"/>
  <c r="K1070" i="1"/>
  <c r="J934" i="1"/>
  <c r="J935" i="1" s="1"/>
  <c r="B778" i="1"/>
  <c r="B780" i="1"/>
  <c r="B781" i="1" s="1"/>
  <c r="J776" i="1"/>
  <c r="J1221" i="1"/>
  <c r="J927" i="1"/>
  <c r="K927" i="1"/>
  <c r="B632" i="1"/>
  <c r="I638" i="1"/>
  <c r="I640" i="1" s="1"/>
  <c r="I641" i="1" s="1"/>
  <c r="B479" i="1"/>
  <c r="B481" i="1"/>
  <c r="B482" i="1" s="1"/>
  <c r="B44" i="1"/>
  <c r="B46" i="1"/>
  <c r="B47" i="1" s="1"/>
  <c r="J42" i="1"/>
  <c r="J46" i="1" s="1"/>
  <c r="J47" i="1" s="1"/>
  <c r="K39" i="1"/>
  <c r="J39" i="1"/>
  <c r="B326" i="1"/>
  <c r="J324" i="1"/>
  <c r="B328" i="1"/>
  <c r="B329" i="1" s="1"/>
  <c r="K321" i="1"/>
  <c r="J321" i="1"/>
  <c r="J1073" i="1"/>
  <c r="B1075" i="1"/>
  <c r="F936" i="1"/>
  <c r="F636" i="1"/>
  <c r="F637" i="1" s="1"/>
  <c r="F638" i="1" s="1"/>
  <c r="K629" i="1"/>
  <c r="J629" i="1"/>
  <c r="J780" i="1"/>
  <c r="J781" i="1" s="1"/>
  <c r="K773" i="1"/>
  <c r="J328" i="1"/>
  <c r="J329" i="1" s="1"/>
  <c r="J181" i="1"/>
  <c r="J185" i="1" s="1"/>
  <c r="J186" i="1" s="1"/>
  <c r="B183" i="1"/>
  <c r="J178" i="1"/>
  <c r="F185" i="1"/>
  <c r="F186" i="1" s="1"/>
  <c r="F187" i="1" s="1"/>
  <c r="F479" i="1" l="1"/>
  <c r="F481" i="1"/>
  <c r="F482" i="1" s="1"/>
  <c r="B187" i="1"/>
  <c r="J183" i="1"/>
  <c r="J187" i="1" s="1"/>
  <c r="B483" i="1"/>
  <c r="J479" i="1"/>
  <c r="J483" i="1" s="1"/>
  <c r="B782" i="1"/>
  <c r="J778" i="1"/>
  <c r="J782" i="1" s="1"/>
  <c r="B936" i="1"/>
  <c r="J932" i="1"/>
  <c r="J936" i="1" s="1"/>
  <c r="B1079" i="1"/>
  <c r="J1075" i="1"/>
  <c r="B330" i="1"/>
  <c r="J326" i="1"/>
  <c r="J330" i="1" s="1"/>
  <c r="B48" i="1"/>
  <c r="J44" i="1"/>
  <c r="J48" i="1" s="1"/>
  <c r="B634" i="1"/>
  <c r="B636" i="1"/>
  <c r="B637" i="1" s="1"/>
  <c r="J632" i="1"/>
  <c r="J1077" i="1"/>
  <c r="J1078" i="1" s="1"/>
  <c r="F483" i="1" l="1"/>
  <c r="J636" i="1"/>
  <c r="J637" i="1" s="1"/>
  <c r="J634" i="1"/>
  <c r="B638" i="1"/>
  <c r="J1079" i="1"/>
  <c r="J638" i="1" l="1"/>
</calcChain>
</file>

<file path=xl/sharedStrings.xml><?xml version="1.0" encoding="utf-8"?>
<sst xmlns="http://schemas.openxmlformats.org/spreadsheetml/2006/main" count="369" uniqueCount="26">
  <si>
    <t>PMS</t>
  </si>
  <si>
    <t>TOTAL</t>
  </si>
  <si>
    <t>PUMP 1A</t>
  </si>
  <si>
    <t>PUMP 1B</t>
  </si>
  <si>
    <t>PUMP 2A</t>
  </si>
  <si>
    <t>PUMP 2B</t>
  </si>
  <si>
    <t>PUMP 3A</t>
  </si>
  <si>
    <t>PUMP 3B</t>
  </si>
  <si>
    <t>PUMP 4A</t>
  </si>
  <si>
    <t>PUMP 4B</t>
  </si>
  <si>
    <t>---------------------</t>
  </si>
  <si>
    <t>QTY SOLD</t>
  </si>
  <si>
    <t>-------------------------</t>
  </si>
  <si>
    <t>--------------------</t>
  </si>
  <si>
    <t>QTY BAL</t>
  </si>
  <si>
    <t>-------------------</t>
  </si>
  <si>
    <t>UM</t>
  </si>
  <si>
    <t xml:space="preserve">                                                                                                                                                                                               </t>
  </si>
  <si>
    <t xml:space="preserve"> </t>
  </si>
  <si>
    <t>SALES DAYBOOK 2023</t>
  </si>
  <si>
    <t>SALES</t>
  </si>
  <si>
    <t>A   P   R   I   L</t>
  </si>
  <si>
    <t>SALES DAYBOOK     J  U   N  E                2023</t>
  </si>
  <si>
    <t>SALES DAYBOOK     J  U   L  Y                2023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</si>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</sst>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.0"/>
    <numFmt numFmtId="165" formatCode="_(* #,##0.00_);_(* \(#,##0.00\);_(* &quot;-&quot;??_);_(@_)"/>
    <numFmt numFmtId="166" formatCode="_(* #,##0_);_(* \(#,##0\);_(* &quot;-&quot;??_);_(@_)"/>
    <numFmt numFmtId="167" formatCode="_(* #,##0.000_);_(* \(#,##0.000\);_(* &quot;-&quot;??_);_(@_)"/>
    <numFmt numFmtId="168" formatCode="_(* #,##0.0_);_(* \(#,##0.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66" fontId="2" fillId="0" borderId="0" xfId="1" quotePrefix="1" applyNumberFormat="1" applyFont="1"/>
    <xf numFmtId="166" fontId="2" fillId="0" borderId="0" xfId="1" applyNumberFormat="1" applyFont="1"/>
    <xf numFmtId="166" fontId="2" fillId="0" borderId="0" xfId="0" applyNumberFormat="1" applyFont="1"/>
    <xf numFmtId="43" fontId="2" fillId="0" borderId="0" xfId="1" quotePrefix="1" applyNumberFormat="1" applyFont="1"/>
    <xf numFmtId="43" fontId="2" fillId="0" borderId="0" xfId="1" applyNumberFormat="1" applyFont="1"/>
    <xf numFmtId="165" fontId="2" fillId="0" borderId="0" xfId="1" applyNumberFormat="1" applyFont="1"/>
    <xf numFmtId="167" fontId="2" fillId="0" borderId="0" xfId="1" applyNumberFormat="1" applyFont="1"/>
    <xf numFmtId="168" fontId="2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222"/>
  <sheetViews>
    <sheetView tabSelected="1" topLeftCell="A43" workbookViewId="0">
      <selection activeCell="G58" sqref="G58"/>
    </sheetView>
  </sheetViews>
  <sheetFormatPr defaultRowHeight="15" x14ac:dyDescent="0.25"/>
  <cols>
    <col min="1" max="1" width="9.85546875" bestFit="1" customWidth="1"/>
    <col min="2" max="2" width="16" bestFit="1" customWidth="1"/>
    <col min="3" max="3" width="11.7109375" bestFit="1" customWidth="1"/>
    <col min="4" max="6" width="12.28515625" bestFit="1" customWidth="1"/>
    <col min="7" max="8" width="11.7109375" bestFit="1" customWidth="1"/>
    <col min="9" max="9" width="13.140625" bestFit="1" customWidth="1"/>
    <col min="10" max="10" width="16.85546875" bestFit="1" customWidth="1"/>
    <col min="11" max="11" width="21.140625" customWidth="1"/>
  </cols>
  <sheetData>
    <row r="5" spans="1:11" ht="18.75" x14ac:dyDescent="0.3">
      <c r="A5" s="1"/>
      <c r="B5" s="1"/>
      <c r="C5" s="1"/>
      <c r="D5" s="1"/>
      <c r="E5" s="1"/>
      <c r="F5" s="1"/>
      <c r="G5" s="1"/>
      <c r="H5" s="1"/>
      <c r="I5" s="1"/>
      <c r="J5" s="1" t="s">
        <v>0</v>
      </c>
      <c r="K5" s="1" t="s">
        <v>1</v>
      </c>
    </row>
    <row r="6" spans="1:11" ht="18.75" x14ac:dyDescent="0.3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</v>
      </c>
      <c r="K6" s="1"/>
    </row>
    <row r="7" spans="1:11" ht="18.75" x14ac:dyDescent="0.3">
      <c r="A7" s="2">
        <v>44927</v>
      </c>
      <c r="B7" s="3">
        <f>547086.96-547086.96</f>
        <v>0</v>
      </c>
      <c r="C7" s="3">
        <f>771659.19-769735.94</f>
        <v>1923.25</v>
      </c>
      <c r="D7" s="1">
        <f>55416.59-54403.38</f>
        <v>1013.2099999999991</v>
      </c>
      <c r="E7" s="3">
        <f t="shared" ref="E7:E16" si="0">321239.85-321239.85</f>
        <v>0</v>
      </c>
      <c r="F7" s="1">
        <f>722085.92-720219.03</f>
        <v>1866.890000000014</v>
      </c>
      <c r="G7" s="1">
        <f t="shared" ref="G7:G25" si="1">537521.23-537521.23</f>
        <v>0</v>
      </c>
      <c r="H7" s="1">
        <f t="shared" ref="H7:H37" si="2">1081662-1081662</f>
        <v>0</v>
      </c>
      <c r="I7" s="1"/>
      <c r="J7" s="3">
        <f t="shared" ref="J7" si="3">SUM(B7:I7)</f>
        <v>4803.3500000000131</v>
      </c>
      <c r="K7" s="4">
        <f>J7*277</f>
        <v>1330527.9500000037</v>
      </c>
    </row>
    <row r="8" spans="1:11" ht="18.75" x14ac:dyDescent="0.3">
      <c r="A8" s="2">
        <v>44928</v>
      </c>
      <c r="B8" s="3">
        <f>548765.48-547086.96</f>
        <v>1678.5200000000186</v>
      </c>
      <c r="C8" s="3">
        <f t="shared" ref="C8:C17" si="4">771659.19-771659.19</f>
        <v>0</v>
      </c>
      <c r="D8" s="1">
        <f>58310.87-55416.59</f>
        <v>2894.2800000000061</v>
      </c>
      <c r="E8" s="3">
        <f t="shared" si="0"/>
        <v>0</v>
      </c>
      <c r="F8" s="1">
        <f>724157.75-722085.92</f>
        <v>2071.8299999999581</v>
      </c>
      <c r="G8" s="1">
        <f t="shared" si="1"/>
        <v>0</v>
      </c>
      <c r="H8" s="1">
        <f t="shared" si="2"/>
        <v>0</v>
      </c>
      <c r="I8" s="1"/>
      <c r="J8" s="3">
        <f t="shared" ref="J8:J19" si="5">SUM(B8:I8)</f>
        <v>6644.6299999999828</v>
      </c>
      <c r="K8" s="4">
        <f t="shared" ref="K8:K37" si="6">J8*277</f>
        <v>1840562.5099999954</v>
      </c>
    </row>
    <row r="9" spans="1:11" ht="18.75" x14ac:dyDescent="0.3">
      <c r="A9" s="2">
        <v>44929</v>
      </c>
      <c r="B9" s="3">
        <f>552348.26-548765.48</f>
        <v>3582.7800000000279</v>
      </c>
      <c r="C9" s="3">
        <f t="shared" si="4"/>
        <v>0</v>
      </c>
      <c r="D9" s="1">
        <f>61187.95-58310.87</f>
        <v>2877.0799999999945</v>
      </c>
      <c r="E9" s="3">
        <f t="shared" si="0"/>
        <v>0</v>
      </c>
      <c r="F9" s="1">
        <f>726131.79-724157.75</f>
        <v>1974.0400000000373</v>
      </c>
      <c r="G9" s="1">
        <f t="shared" si="1"/>
        <v>0</v>
      </c>
      <c r="H9" s="1">
        <f t="shared" si="2"/>
        <v>0</v>
      </c>
      <c r="I9" s="1"/>
      <c r="J9" s="3">
        <f t="shared" si="5"/>
        <v>8433.9000000000597</v>
      </c>
      <c r="K9" s="4">
        <f t="shared" si="6"/>
        <v>2336190.3000000166</v>
      </c>
    </row>
    <row r="10" spans="1:11" ht="18.75" x14ac:dyDescent="0.3">
      <c r="A10" s="2">
        <v>44930</v>
      </c>
      <c r="B10" s="3">
        <f>555059.22-552348.26</f>
        <v>2710.9599999999627</v>
      </c>
      <c r="C10" s="3">
        <f t="shared" si="4"/>
        <v>0</v>
      </c>
      <c r="D10" s="1">
        <f>62788.65-61187.95</f>
        <v>1600.7000000000044</v>
      </c>
      <c r="E10" s="3">
        <f t="shared" si="0"/>
        <v>0</v>
      </c>
      <c r="F10" s="1">
        <f>729015.37-726131.79</f>
        <v>2883.5799999999581</v>
      </c>
      <c r="G10" s="1">
        <f t="shared" si="1"/>
        <v>0</v>
      </c>
      <c r="H10" s="1">
        <f t="shared" si="2"/>
        <v>0</v>
      </c>
      <c r="I10" s="1"/>
      <c r="J10" s="3">
        <f t="shared" si="5"/>
        <v>7195.2399999999252</v>
      </c>
      <c r="K10" s="4">
        <f t="shared" si="6"/>
        <v>1993081.4799999793</v>
      </c>
    </row>
    <row r="11" spans="1:11" ht="18.75" x14ac:dyDescent="0.3">
      <c r="A11" s="2">
        <v>44931</v>
      </c>
      <c r="B11" s="3">
        <f>557099.51-555059.22</f>
        <v>2040.2900000000373</v>
      </c>
      <c r="C11" s="3">
        <f t="shared" si="4"/>
        <v>0</v>
      </c>
      <c r="D11" s="1">
        <f>65366.33-62788.65</f>
        <v>2577.6800000000003</v>
      </c>
      <c r="E11" s="3">
        <f t="shared" si="0"/>
        <v>0</v>
      </c>
      <c r="F11" s="1">
        <f>730726.34-729015.37</f>
        <v>1710.9699999999721</v>
      </c>
      <c r="G11" s="1">
        <f t="shared" si="1"/>
        <v>0</v>
      </c>
      <c r="H11" s="1">
        <f t="shared" si="2"/>
        <v>0</v>
      </c>
      <c r="I11" s="1"/>
      <c r="J11" s="3">
        <f t="shared" si="5"/>
        <v>6328.9400000000096</v>
      </c>
      <c r="K11" s="4">
        <f t="shared" si="6"/>
        <v>1753116.3800000027</v>
      </c>
    </row>
    <row r="12" spans="1:11" ht="18.75" x14ac:dyDescent="0.3">
      <c r="A12" s="2">
        <v>44932</v>
      </c>
      <c r="B12" s="3">
        <f>558638.25-557099.51</f>
        <v>1538.7399999999907</v>
      </c>
      <c r="C12" s="3">
        <f t="shared" si="4"/>
        <v>0</v>
      </c>
      <c r="D12" s="1">
        <f>66529.1-65366.33</f>
        <v>1162.7700000000041</v>
      </c>
      <c r="E12" s="3">
        <f t="shared" si="0"/>
        <v>0</v>
      </c>
      <c r="F12" s="1">
        <f>732221.52-730726.34</f>
        <v>1495.1800000000512</v>
      </c>
      <c r="G12" s="1">
        <f t="shared" si="1"/>
        <v>0</v>
      </c>
      <c r="H12" s="1">
        <f t="shared" si="2"/>
        <v>0</v>
      </c>
      <c r="I12" s="1"/>
      <c r="J12" s="3">
        <f t="shared" si="5"/>
        <v>4196.690000000046</v>
      </c>
      <c r="K12" s="4">
        <f t="shared" si="6"/>
        <v>1162483.1300000127</v>
      </c>
    </row>
    <row r="13" spans="1:11" ht="18.75" x14ac:dyDescent="0.3">
      <c r="A13" s="2">
        <v>44933</v>
      </c>
      <c r="B13" s="3">
        <f>560963.8-558638.25</f>
        <v>2325.5500000000466</v>
      </c>
      <c r="C13" s="3">
        <f t="shared" si="4"/>
        <v>0</v>
      </c>
      <c r="D13" s="1">
        <f>68098.22-66529.1</f>
        <v>1569.1199999999953</v>
      </c>
      <c r="E13" s="3">
        <f t="shared" si="0"/>
        <v>0</v>
      </c>
      <c r="F13" s="1">
        <f>734021.28-732221.52</f>
        <v>1799.7600000000093</v>
      </c>
      <c r="G13" s="1">
        <f t="shared" si="1"/>
        <v>0</v>
      </c>
      <c r="H13" s="1">
        <f t="shared" si="2"/>
        <v>0</v>
      </c>
      <c r="I13" s="1"/>
      <c r="J13" s="3">
        <f t="shared" si="5"/>
        <v>5694.4300000000512</v>
      </c>
      <c r="K13" s="4">
        <f t="shared" si="6"/>
        <v>1577357.1100000143</v>
      </c>
    </row>
    <row r="14" spans="1:11" ht="18.75" x14ac:dyDescent="0.3">
      <c r="A14" s="2">
        <v>44934</v>
      </c>
      <c r="B14" s="3">
        <f>560963.8-560963.8</f>
        <v>0</v>
      </c>
      <c r="C14" s="3">
        <f t="shared" si="4"/>
        <v>0</v>
      </c>
      <c r="D14" s="1">
        <f>69450.13-68098.22</f>
        <v>1351.9100000000035</v>
      </c>
      <c r="E14" s="3">
        <f t="shared" si="0"/>
        <v>0</v>
      </c>
      <c r="F14" s="1">
        <f>737678.43-734021.28</f>
        <v>3657.1500000000233</v>
      </c>
      <c r="G14" s="1">
        <f t="shared" si="1"/>
        <v>0</v>
      </c>
      <c r="H14" s="1">
        <f t="shared" si="2"/>
        <v>0</v>
      </c>
      <c r="I14" s="1"/>
      <c r="J14" s="3">
        <f t="shared" si="5"/>
        <v>5009.0600000000268</v>
      </c>
      <c r="K14" s="4">
        <f t="shared" si="6"/>
        <v>1387509.6200000073</v>
      </c>
    </row>
    <row r="15" spans="1:11" ht="18.75" x14ac:dyDescent="0.3">
      <c r="A15" s="2">
        <v>44935</v>
      </c>
      <c r="B15" s="3">
        <f>564669.09-560963.8</f>
        <v>3705.2899999999208</v>
      </c>
      <c r="C15" s="3">
        <f t="shared" si="4"/>
        <v>0</v>
      </c>
      <c r="D15" s="1">
        <f>73591.54-69450.13</f>
        <v>4141.4099999999889</v>
      </c>
      <c r="E15" s="3">
        <f t="shared" si="0"/>
        <v>0</v>
      </c>
      <c r="F15" s="1">
        <f>740460.33-737678.43</f>
        <v>2781.8999999999069</v>
      </c>
      <c r="G15" s="1">
        <f t="shared" si="1"/>
        <v>0</v>
      </c>
      <c r="H15" s="1">
        <f t="shared" si="2"/>
        <v>0</v>
      </c>
      <c r="I15" s="1"/>
      <c r="J15" s="3">
        <f t="shared" si="5"/>
        <v>10628.599999999817</v>
      </c>
      <c r="K15" s="4">
        <f t="shared" si="6"/>
        <v>2944122.1999999494</v>
      </c>
    </row>
    <row r="16" spans="1:11" ht="18.75" x14ac:dyDescent="0.3">
      <c r="A16" s="2">
        <v>44936</v>
      </c>
      <c r="B16" s="3">
        <f>571102.37-564669.09</f>
        <v>6433.2800000000279</v>
      </c>
      <c r="C16" s="3">
        <f t="shared" si="4"/>
        <v>0</v>
      </c>
      <c r="D16" s="1">
        <f>77264.31-73591.54</f>
        <v>3672.7700000000041</v>
      </c>
      <c r="E16" s="3">
        <f t="shared" si="0"/>
        <v>0</v>
      </c>
      <c r="F16" s="1">
        <f>743484.53-740460.33</f>
        <v>3024.2000000000698</v>
      </c>
      <c r="G16" s="1">
        <f t="shared" si="1"/>
        <v>0</v>
      </c>
      <c r="H16" s="1">
        <f t="shared" si="2"/>
        <v>0</v>
      </c>
      <c r="I16" s="1"/>
      <c r="J16" s="3">
        <f t="shared" si="5"/>
        <v>13130.250000000102</v>
      </c>
      <c r="K16" s="4">
        <f t="shared" si="6"/>
        <v>3637079.2500000284</v>
      </c>
    </row>
    <row r="17" spans="1:11" ht="18.75" x14ac:dyDescent="0.3">
      <c r="A17" s="2">
        <v>44937</v>
      </c>
      <c r="B17" s="3">
        <f>572152.77-571102.37</f>
        <v>1050.4000000000233</v>
      </c>
      <c r="C17" s="3">
        <f t="shared" si="4"/>
        <v>0</v>
      </c>
      <c r="D17" s="1">
        <f>80770.19-77264.31</f>
        <v>3505.8800000000047</v>
      </c>
      <c r="E17" s="3">
        <f>321840.12-321239.85</f>
        <v>600.27000000001863</v>
      </c>
      <c r="F17" s="1">
        <f>746098.39-743484.53</f>
        <v>2613.859999999986</v>
      </c>
      <c r="G17" s="1">
        <f t="shared" si="1"/>
        <v>0</v>
      </c>
      <c r="H17" s="1">
        <f t="shared" si="2"/>
        <v>0</v>
      </c>
      <c r="I17" s="1"/>
      <c r="J17" s="3">
        <f t="shared" si="5"/>
        <v>7770.4100000000326</v>
      </c>
      <c r="K17" s="4">
        <f t="shared" si="6"/>
        <v>2152403.5700000091</v>
      </c>
    </row>
    <row r="18" spans="1:11" ht="18.75" x14ac:dyDescent="0.3">
      <c r="A18" s="2">
        <v>44938</v>
      </c>
      <c r="B18" s="3">
        <f>574467.18-572152.77</f>
        <v>2314.4100000000326</v>
      </c>
      <c r="C18" s="3">
        <f>773385.94-771659.19</f>
        <v>1726.75</v>
      </c>
      <c r="D18" s="1">
        <f>80770.19-80770.19</f>
        <v>0</v>
      </c>
      <c r="E18" s="3">
        <f>323134.32-321840.12</f>
        <v>1294.2000000000116</v>
      </c>
      <c r="F18" s="1">
        <f>751349.04-746098.39</f>
        <v>5250.6500000000233</v>
      </c>
      <c r="G18" s="1">
        <f t="shared" si="1"/>
        <v>0</v>
      </c>
      <c r="H18" s="1">
        <f t="shared" si="2"/>
        <v>0</v>
      </c>
      <c r="I18" s="1"/>
      <c r="J18" s="3">
        <f t="shared" si="5"/>
        <v>10586.010000000068</v>
      </c>
      <c r="K18" s="4">
        <f t="shared" si="6"/>
        <v>2932324.7700000186</v>
      </c>
    </row>
    <row r="19" spans="1:11" ht="18.75" x14ac:dyDescent="0.3">
      <c r="A19" s="2">
        <v>44939</v>
      </c>
      <c r="B19" s="3">
        <f>577915.93-574467.18</f>
        <v>3448.75</v>
      </c>
      <c r="C19" s="3">
        <f>773385.94-773385.94</f>
        <v>0</v>
      </c>
      <c r="D19" s="1">
        <f>86166.58-80770.19</f>
        <v>5396.3899999999994</v>
      </c>
      <c r="E19" s="3">
        <f>323134.32-323134.32</f>
        <v>0</v>
      </c>
      <c r="F19" s="1">
        <f>754652.69-751349.04</f>
        <v>3303.6499999999069</v>
      </c>
      <c r="G19" s="1">
        <f t="shared" si="1"/>
        <v>0</v>
      </c>
      <c r="H19" s="1">
        <f t="shared" si="2"/>
        <v>0</v>
      </c>
      <c r="I19" s="1"/>
      <c r="J19" s="3">
        <f t="shared" si="5"/>
        <v>12148.789999999906</v>
      </c>
      <c r="K19" s="4">
        <f t="shared" si="6"/>
        <v>3365214.829999974</v>
      </c>
    </row>
    <row r="20" spans="1:11" ht="18.75" x14ac:dyDescent="0.3">
      <c r="A20" s="2">
        <v>44940</v>
      </c>
      <c r="B20" s="3">
        <f>577915.93-577915.93</f>
        <v>0</v>
      </c>
      <c r="C20" s="3">
        <f>775749.9-773385.94</f>
        <v>2363.9600000000792</v>
      </c>
      <c r="D20" s="1">
        <f>90995.2-86166.58</f>
        <v>4828.6199999999953</v>
      </c>
      <c r="E20" s="3">
        <f>323134.32-323134.32</f>
        <v>0</v>
      </c>
      <c r="F20" s="1">
        <f>762238.8-754652.69</f>
        <v>7586.1100000001024</v>
      </c>
      <c r="G20" s="1">
        <f t="shared" si="1"/>
        <v>0</v>
      </c>
      <c r="H20" s="1">
        <f t="shared" si="2"/>
        <v>0</v>
      </c>
      <c r="I20" s="1"/>
      <c r="J20" s="3">
        <f t="shared" ref="J20:J25" si="7">SUM(B20:I20)</f>
        <v>14778.690000000177</v>
      </c>
      <c r="K20" s="4">
        <f t="shared" si="6"/>
        <v>4093697.1300000492</v>
      </c>
    </row>
    <row r="21" spans="1:11" ht="18.75" x14ac:dyDescent="0.3">
      <c r="A21" s="2">
        <v>44941</v>
      </c>
      <c r="B21" s="3">
        <f>580329.16-577915.93</f>
        <v>2413.2299999999814</v>
      </c>
      <c r="C21" s="3">
        <f>777003.34-775749.9</f>
        <v>1253.4399999999441</v>
      </c>
      <c r="D21" s="1">
        <f>95443.79-90995.2</f>
        <v>4448.5899999999965</v>
      </c>
      <c r="E21" s="3">
        <f>323206.45-323134.32</f>
        <v>72.130000000004657</v>
      </c>
      <c r="F21" s="1">
        <f>762238.8-762238.8</f>
        <v>0</v>
      </c>
      <c r="G21" s="1">
        <f t="shared" si="1"/>
        <v>0</v>
      </c>
      <c r="H21" s="1">
        <f t="shared" si="2"/>
        <v>0</v>
      </c>
      <c r="I21" s="1"/>
      <c r="J21" s="3">
        <f t="shared" si="7"/>
        <v>8187.3899999999267</v>
      </c>
      <c r="K21" s="4">
        <f t="shared" si="6"/>
        <v>2267907.0299999798</v>
      </c>
    </row>
    <row r="22" spans="1:11" ht="18.75" x14ac:dyDescent="0.3">
      <c r="A22" s="2">
        <v>44942</v>
      </c>
      <c r="B22" s="3">
        <f>584379.15-580329.16</f>
        <v>4049.9899999999907</v>
      </c>
      <c r="C22" s="3">
        <f>777003.34-777003.34</f>
        <v>0</v>
      </c>
      <c r="D22" s="1">
        <f>95443.79-95443.79</f>
        <v>0</v>
      </c>
      <c r="E22" s="3">
        <f>323206.45-323206.45</f>
        <v>0</v>
      </c>
      <c r="F22" s="1">
        <f>765499.06-762238.8</f>
        <v>3260.2600000000093</v>
      </c>
      <c r="G22" s="1">
        <f t="shared" si="1"/>
        <v>0</v>
      </c>
      <c r="H22" s="1">
        <f t="shared" si="2"/>
        <v>0</v>
      </c>
      <c r="I22" s="1"/>
      <c r="J22" s="3">
        <f t="shared" si="7"/>
        <v>7310.25</v>
      </c>
      <c r="K22" s="4">
        <f t="shared" si="6"/>
        <v>2024939.25</v>
      </c>
    </row>
    <row r="23" spans="1:11" ht="18.75" x14ac:dyDescent="0.3">
      <c r="A23" s="2">
        <v>44943</v>
      </c>
      <c r="B23" s="3">
        <f>587664.97-584379.15</f>
        <v>3285.8199999999488</v>
      </c>
      <c r="C23" s="3">
        <f>779552.77-777003.34</f>
        <v>2549.4300000000512</v>
      </c>
      <c r="D23" s="1">
        <f>95443.79-95443.79</f>
        <v>0</v>
      </c>
      <c r="E23" s="3">
        <f>323206.45-323206.45</f>
        <v>0</v>
      </c>
      <c r="F23" s="1">
        <f>770829.84-765499.06</f>
        <v>5330.7799999999115</v>
      </c>
      <c r="G23" s="1">
        <f t="shared" si="1"/>
        <v>0</v>
      </c>
      <c r="H23" s="1">
        <f t="shared" si="2"/>
        <v>0</v>
      </c>
      <c r="I23" s="1"/>
      <c r="J23" s="3">
        <f t="shared" si="7"/>
        <v>11166.029999999912</v>
      </c>
      <c r="K23" s="4">
        <f t="shared" si="6"/>
        <v>3092990.3099999754</v>
      </c>
    </row>
    <row r="24" spans="1:11" ht="18.75" x14ac:dyDescent="0.3">
      <c r="A24" s="2">
        <v>44944</v>
      </c>
      <c r="B24" s="3">
        <f>591547.55-587664.97</f>
        <v>3882.5800000000745</v>
      </c>
      <c r="C24" s="3">
        <f>783477.36-779552.77</f>
        <v>3924.5899999999674</v>
      </c>
      <c r="D24" s="1">
        <f>96464.92-95443.79</f>
        <v>1021.1300000000047</v>
      </c>
      <c r="E24" s="3">
        <f>323206.45-323206.45</f>
        <v>0</v>
      </c>
      <c r="F24" s="1">
        <f>776906.95-770829.84</f>
        <v>6077.109999999986</v>
      </c>
      <c r="G24" s="1">
        <f t="shared" si="1"/>
        <v>0</v>
      </c>
      <c r="H24" s="1">
        <f t="shared" si="2"/>
        <v>0</v>
      </c>
      <c r="I24" s="1"/>
      <c r="J24" s="3">
        <f t="shared" si="7"/>
        <v>14905.410000000033</v>
      </c>
      <c r="K24" s="4">
        <f t="shared" si="6"/>
        <v>4128798.5700000091</v>
      </c>
    </row>
    <row r="25" spans="1:11" ht="18.75" x14ac:dyDescent="0.3">
      <c r="A25" s="2">
        <v>44945</v>
      </c>
      <c r="B25" s="3">
        <f>594513.18-591547.55</f>
        <v>2965.6300000000047</v>
      </c>
      <c r="C25" s="3">
        <f>786607.9-783477.36</f>
        <v>3130.5400000000373</v>
      </c>
      <c r="D25" s="1">
        <f>104483.31-96464.92</f>
        <v>8018.3899999999994</v>
      </c>
      <c r="E25" s="3">
        <f>323206.45-323206.45</f>
        <v>0</v>
      </c>
      <c r="F25" s="1">
        <f>781007.8-776906.95</f>
        <v>4100.8500000000931</v>
      </c>
      <c r="G25" s="1">
        <f t="shared" si="1"/>
        <v>0</v>
      </c>
      <c r="H25" s="1">
        <f t="shared" si="2"/>
        <v>0</v>
      </c>
      <c r="I25" s="1"/>
      <c r="J25" s="3">
        <f t="shared" si="7"/>
        <v>18215.410000000134</v>
      </c>
      <c r="K25" s="4">
        <f t="shared" si="6"/>
        <v>5045668.5700000376</v>
      </c>
    </row>
    <row r="26" spans="1:11" ht="18.75" x14ac:dyDescent="0.3">
      <c r="A26" s="2">
        <v>44946</v>
      </c>
      <c r="B26" s="3">
        <f>598388.97-594513.18</f>
        <v>3875.7899999999208</v>
      </c>
      <c r="C26" s="3">
        <f>789806.24-786607.9</f>
        <v>3198.3399999999674</v>
      </c>
      <c r="D26" s="1">
        <f>107711.6-104483.31</f>
        <v>3228.2900000000081</v>
      </c>
      <c r="E26" s="3">
        <f>323361.02-323206.45</f>
        <v>154.57000000000698</v>
      </c>
      <c r="F26" s="1">
        <f>789647.35-781007.8</f>
        <v>8639.5499999999302</v>
      </c>
      <c r="G26" s="1">
        <f>539307.83-537521.8</f>
        <v>1786.0299999999115</v>
      </c>
      <c r="H26" s="1">
        <f t="shared" si="2"/>
        <v>0</v>
      </c>
      <c r="I26" s="1"/>
      <c r="J26" s="3">
        <f t="shared" ref="J26:J32" si="8">SUM(B26:I26)</f>
        <v>20882.569999999745</v>
      </c>
      <c r="K26" s="4">
        <f t="shared" si="6"/>
        <v>5784471.8899999298</v>
      </c>
    </row>
    <row r="27" spans="1:11" ht="18.75" x14ac:dyDescent="0.3">
      <c r="A27" s="2">
        <v>44947</v>
      </c>
      <c r="B27" s="3">
        <f>603323.85-598388.97</f>
        <v>4934.8800000000047</v>
      </c>
      <c r="C27" s="3">
        <f>790277.68-789806.24</f>
        <v>471.44000000006054</v>
      </c>
      <c r="D27" s="1">
        <f>114324-107711.6</f>
        <v>6612.3999999999942</v>
      </c>
      <c r="E27" s="3">
        <f>324884.39-323361.02</f>
        <v>1523.3699999999953</v>
      </c>
      <c r="F27" s="1">
        <f>799083.78-789647.35</f>
        <v>9436.4300000000512</v>
      </c>
      <c r="G27" s="1">
        <f>539698.17-539307.83</f>
        <v>390.34000000008382</v>
      </c>
      <c r="H27" s="1">
        <f t="shared" si="2"/>
        <v>0</v>
      </c>
      <c r="I27" s="1"/>
      <c r="J27" s="3">
        <f t="shared" si="8"/>
        <v>23368.86000000019</v>
      </c>
      <c r="K27" s="4">
        <f t="shared" si="6"/>
        <v>6473174.2200000528</v>
      </c>
    </row>
    <row r="28" spans="1:11" ht="18.75" x14ac:dyDescent="0.3">
      <c r="A28" s="2">
        <v>44948</v>
      </c>
      <c r="B28" s="3">
        <f>606061.82-603323.85</f>
        <v>2737.9699999999721</v>
      </c>
      <c r="C28" s="3">
        <f>793251.13-790277.68</f>
        <v>2973.4499999999534</v>
      </c>
      <c r="D28" s="1">
        <f>119530.52-114324</f>
        <v>5206.5200000000041</v>
      </c>
      <c r="E28" s="3">
        <f>324884.39-324884.39</f>
        <v>0</v>
      </c>
      <c r="F28" s="1">
        <f>802618.69-799083.78</f>
        <v>3534.9099999999162</v>
      </c>
      <c r="G28" s="1">
        <f>539698.17-539698.17</f>
        <v>0</v>
      </c>
      <c r="H28" s="1">
        <f t="shared" si="2"/>
        <v>0</v>
      </c>
      <c r="I28" s="1"/>
      <c r="J28" s="3">
        <f t="shared" si="8"/>
        <v>14452.849999999846</v>
      </c>
      <c r="K28" s="4">
        <f t="shared" si="6"/>
        <v>4003439.4499999573</v>
      </c>
    </row>
    <row r="29" spans="1:11" ht="18.75" x14ac:dyDescent="0.3">
      <c r="A29" s="2">
        <v>44949</v>
      </c>
      <c r="B29" s="3">
        <f>609260.12-606061.82</f>
        <v>3198.3000000000466</v>
      </c>
      <c r="C29" s="3">
        <f>799572.74-793251.13</f>
        <v>6321.609999999986</v>
      </c>
      <c r="D29" s="1">
        <f>126457.85-119530.52</f>
        <v>6927.3300000000017</v>
      </c>
      <c r="E29" s="3">
        <f>324884.39-324884.39</f>
        <v>0</v>
      </c>
      <c r="F29" s="1">
        <f>802618.69-802618.69</f>
        <v>0</v>
      </c>
      <c r="G29" s="1">
        <f>539698.17-539698.17</f>
        <v>0</v>
      </c>
      <c r="H29" s="1">
        <f t="shared" si="2"/>
        <v>0</v>
      </c>
      <c r="I29" s="1"/>
      <c r="J29" s="3">
        <f t="shared" si="8"/>
        <v>16447.240000000034</v>
      </c>
      <c r="K29" s="4">
        <f t="shared" si="6"/>
        <v>4555885.4800000098</v>
      </c>
    </row>
    <row r="30" spans="1:11" ht="18.75" x14ac:dyDescent="0.3">
      <c r="A30" s="2">
        <v>44950</v>
      </c>
      <c r="B30" s="3">
        <f>613930.8-609260.12</f>
        <v>4670.6800000000512</v>
      </c>
      <c r="C30" s="3">
        <f>804353.14-799572.74</f>
        <v>4780.4000000000233</v>
      </c>
      <c r="D30" s="1">
        <f>133539.71-126457.85</f>
        <v>7081.859999999986</v>
      </c>
      <c r="E30" s="3">
        <f>324884.39-324884.39</f>
        <v>0</v>
      </c>
      <c r="F30" s="1">
        <f>806392.41-802618.69</f>
        <v>3773.7200000000885</v>
      </c>
      <c r="G30" s="1">
        <f>539698.17-539698.17</f>
        <v>0</v>
      </c>
      <c r="H30" s="1">
        <f t="shared" si="2"/>
        <v>0</v>
      </c>
      <c r="I30" s="1"/>
      <c r="J30" s="3">
        <f t="shared" si="8"/>
        <v>20306.660000000149</v>
      </c>
      <c r="K30" s="4">
        <f t="shared" si="6"/>
        <v>5624944.8200000413</v>
      </c>
    </row>
    <row r="31" spans="1:11" ht="18.75" x14ac:dyDescent="0.3">
      <c r="A31" s="2">
        <v>44951</v>
      </c>
      <c r="B31" s="3">
        <f>617352.88-613930.8</f>
        <v>3422.0799999999581</v>
      </c>
      <c r="C31" s="3">
        <f>807546.6-804353.14</f>
        <v>3193.4599999999627</v>
      </c>
      <c r="D31" s="1">
        <f>136511.9-133539.71</f>
        <v>2972.1900000000023</v>
      </c>
      <c r="E31" s="3">
        <f>324884.39-324884.39</f>
        <v>0</v>
      </c>
      <c r="F31" s="1">
        <f>812681.4-806392.41</f>
        <v>6288.9899999999907</v>
      </c>
      <c r="G31" s="1">
        <f>539698.17-539698.17</f>
        <v>0</v>
      </c>
      <c r="H31" s="1">
        <f t="shared" si="2"/>
        <v>0</v>
      </c>
      <c r="I31" s="1"/>
      <c r="J31" s="3">
        <f t="shared" si="8"/>
        <v>15876.719999999914</v>
      </c>
      <c r="K31" s="4">
        <f t="shared" si="6"/>
        <v>4397851.4399999762</v>
      </c>
    </row>
    <row r="32" spans="1:11" ht="18.75" x14ac:dyDescent="0.3">
      <c r="A32" s="2">
        <v>44952</v>
      </c>
      <c r="B32" s="3">
        <f>618978.75-617352.88</f>
        <v>1625.8699999999953</v>
      </c>
      <c r="C32" s="3">
        <f>807765.59-807546.6</f>
        <v>218.98999999999069</v>
      </c>
      <c r="D32" s="1">
        <f>140038.08-136511.9</f>
        <v>3526.179999999993</v>
      </c>
      <c r="E32" s="3">
        <f>324884.39-324884.39</f>
        <v>0</v>
      </c>
      <c r="F32" s="1">
        <f>817523.99-812681.4</f>
        <v>4842.5899999999674</v>
      </c>
      <c r="G32" s="1">
        <f>540751.02-539698.17</f>
        <v>1052.8499999999767</v>
      </c>
      <c r="H32" s="1">
        <f t="shared" si="2"/>
        <v>0</v>
      </c>
      <c r="I32" s="1"/>
      <c r="J32" s="3">
        <f t="shared" si="8"/>
        <v>11266.479999999923</v>
      </c>
      <c r="K32" s="4">
        <f t="shared" si="6"/>
        <v>3120814.9599999785</v>
      </c>
    </row>
    <row r="33" spans="1:11" ht="18.75" x14ac:dyDescent="0.3">
      <c r="A33" s="2">
        <v>44953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f t="shared" ref="J33" si="9">SUM(B33:I33)</f>
        <v>0</v>
      </c>
      <c r="K33" s="4">
        <f t="shared" si="6"/>
        <v>0</v>
      </c>
    </row>
    <row r="34" spans="1:11" ht="18.75" x14ac:dyDescent="0.3">
      <c r="A34" s="2">
        <v>44954</v>
      </c>
      <c r="B34" s="3">
        <f>622046.77-618978.75</f>
        <v>3068.0200000000186</v>
      </c>
      <c r="C34" s="3">
        <f>811341.73-807765.59</f>
        <v>3576.140000000014</v>
      </c>
      <c r="D34" s="1">
        <f>142780.05-140038.08</f>
        <v>2741.9700000000012</v>
      </c>
      <c r="E34" s="3">
        <f>324884.39-324884.39</f>
        <v>0</v>
      </c>
      <c r="F34" s="1">
        <f>821530.38-817523.99</f>
        <v>4006.390000000014</v>
      </c>
      <c r="G34" s="1">
        <f>540751.02-540751.02</f>
        <v>0</v>
      </c>
      <c r="H34" s="1">
        <f t="shared" si="2"/>
        <v>0</v>
      </c>
      <c r="I34" s="1"/>
      <c r="J34" s="3">
        <f t="shared" ref="J34:J37" si="10">SUM(B34:I34)</f>
        <v>13392.520000000048</v>
      </c>
      <c r="K34" s="4">
        <f t="shared" si="6"/>
        <v>3709728.0400000131</v>
      </c>
    </row>
    <row r="35" spans="1:11" ht="18.75" x14ac:dyDescent="0.3">
      <c r="A35" s="2">
        <v>44955</v>
      </c>
      <c r="B35" s="3">
        <f>623647.8-622046.77</f>
        <v>1601.0300000000279</v>
      </c>
      <c r="C35" s="3">
        <f>811341.73-811341.73</f>
        <v>0</v>
      </c>
      <c r="D35" s="1">
        <f>144388.82-142780.05</f>
        <v>1608.7700000000186</v>
      </c>
      <c r="E35" s="3">
        <f>324884.39-324884.39</f>
        <v>0</v>
      </c>
      <c r="F35" s="1">
        <f>827262.89-821530.38</f>
        <v>5732.5100000000093</v>
      </c>
      <c r="G35" s="1">
        <f>540751.02-540751.02</f>
        <v>0</v>
      </c>
      <c r="H35" s="1">
        <f t="shared" si="2"/>
        <v>0</v>
      </c>
      <c r="I35" s="1"/>
      <c r="J35" s="3">
        <f t="shared" si="10"/>
        <v>8942.3100000000559</v>
      </c>
      <c r="K35" s="4">
        <f t="shared" si="6"/>
        <v>2477019.8700000155</v>
      </c>
    </row>
    <row r="36" spans="1:11" ht="18.75" x14ac:dyDescent="0.3">
      <c r="A36" s="2">
        <v>44956</v>
      </c>
      <c r="B36" s="3">
        <f>623647.8-623647.8</f>
        <v>0</v>
      </c>
      <c r="C36" s="3">
        <f>811341.73-811341.73</f>
        <v>0</v>
      </c>
      <c r="D36" s="1">
        <f>149350.43-144388.82</f>
        <v>4961.609999999986</v>
      </c>
      <c r="E36" s="3">
        <f>326518.3-324884.39</f>
        <v>1633.9099999999744</v>
      </c>
      <c r="F36" s="1">
        <f>830252.83-827262.89</f>
        <v>2989.9399999999441</v>
      </c>
      <c r="G36" s="1">
        <f>540751.02-540751.02</f>
        <v>0</v>
      </c>
      <c r="H36" s="1">
        <f t="shared" si="2"/>
        <v>0</v>
      </c>
      <c r="I36" s="1"/>
      <c r="J36" s="3">
        <f t="shared" si="10"/>
        <v>9585.4599999999045</v>
      </c>
      <c r="K36" s="4">
        <f t="shared" si="6"/>
        <v>2655172.4199999734</v>
      </c>
    </row>
    <row r="37" spans="1:11" ht="18.75" x14ac:dyDescent="0.3">
      <c r="A37" s="2">
        <v>44957</v>
      </c>
      <c r="B37" s="3">
        <f>625652.17-623647.8</f>
        <v>2004.3699999999953</v>
      </c>
      <c r="C37" s="3">
        <f>813749.28-811341.73</f>
        <v>2407.5500000000466</v>
      </c>
      <c r="D37" s="1">
        <f>151523.21-149350.43</f>
        <v>2172.7799999999988</v>
      </c>
      <c r="E37" s="3">
        <f>326518.3-326518.3</f>
        <v>0</v>
      </c>
      <c r="F37" s="1">
        <f>830252.83-830252.83</f>
        <v>0</v>
      </c>
      <c r="G37" s="1">
        <f>540751.02-540751.02</f>
        <v>0</v>
      </c>
      <c r="H37" s="1">
        <f t="shared" si="2"/>
        <v>0</v>
      </c>
      <c r="I37" s="1"/>
      <c r="J37" s="3">
        <f t="shared" si="10"/>
        <v>6584.7000000000407</v>
      </c>
      <c r="K37" s="4">
        <f t="shared" si="6"/>
        <v>1823961.9000000113</v>
      </c>
    </row>
    <row r="38" spans="1:11" ht="18.75" x14ac:dyDescent="0.3">
      <c r="A38" s="5" t="s">
        <v>10</v>
      </c>
      <c r="B38" s="5" t="s">
        <v>10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  <c r="J38" s="5" t="s">
        <v>10</v>
      </c>
      <c r="K38" s="5" t="s">
        <v>10</v>
      </c>
    </row>
    <row r="39" spans="1:11" ht="18.75" x14ac:dyDescent="0.3">
      <c r="A39" s="6" t="s">
        <v>11</v>
      </c>
      <c r="B39" s="6">
        <f t="shared" ref="B39:K39" si="11">SUM(B7:B38)</f>
        <v>78565.210000000079</v>
      </c>
      <c r="C39" s="6">
        <f t="shared" si="11"/>
        <v>44013.340000000084</v>
      </c>
      <c r="D39" s="6">
        <f t="shared" si="11"/>
        <v>97119.829999999987</v>
      </c>
      <c r="E39" s="6">
        <f t="shared" si="11"/>
        <v>5278.4500000000116</v>
      </c>
      <c r="F39" s="6">
        <f t="shared" si="11"/>
        <v>110033.79999999993</v>
      </c>
      <c r="G39" s="6">
        <f t="shared" si="11"/>
        <v>3229.2199999999721</v>
      </c>
      <c r="H39" s="6">
        <f t="shared" si="11"/>
        <v>0</v>
      </c>
      <c r="I39" s="6">
        <f t="shared" si="11"/>
        <v>0</v>
      </c>
      <c r="J39" s="6">
        <f t="shared" si="11"/>
        <v>338239.85000000009</v>
      </c>
      <c r="K39" s="6">
        <f t="shared" si="11"/>
        <v>93692438.450000003</v>
      </c>
    </row>
    <row r="40" spans="1:11" ht="18.75" x14ac:dyDescent="0.3">
      <c r="A40" s="5" t="s">
        <v>10</v>
      </c>
      <c r="B40" s="5" t="s">
        <v>12</v>
      </c>
      <c r="C40" s="5" t="s">
        <v>12</v>
      </c>
      <c r="D40" s="5" t="s">
        <v>12</v>
      </c>
      <c r="E40" s="5" t="s">
        <v>12</v>
      </c>
      <c r="F40" s="5" t="s">
        <v>12</v>
      </c>
      <c r="G40" s="5" t="s">
        <v>12</v>
      </c>
      <c r="H40" s="5" t="s">
        <v>12</v>
      </c>
      <c r="I40" s="5" t="s">
        <v>12</v>
      </c>
      <c r="J40" s="5" t="s">
        <v>12</v>
      </c>
      <c r="K40" s="5" t="s">
        <v>13</v>
      </c>
    </row>
    <row r="41" spans="1:11" ht="18.75" x14ac:dyDescent="0.3">
      <c r="A41" s="6" t="s">
        <v>14</v>
      </c>
      <c r="B41" s="6">
        <f>13950+14600+14700+13900+960+13050+14650+10150+13300+14800+12450+869</f>
        <v>137379</v>
      </c>
      <c r="C41" s="6">
        <v>0</v>
      </c>
      <c r="D41" s="6">
        <f>13450+15000+15900-43+12550+15100+4850+13400+15300+14550-9</f>
        <v>120048</v>
      </c>
      <c r="E41" s="6"/>
      <c r="F41" s="7">
        <f>13800+15400+14400+13100+480+14400+15250+13300+14900+22000+583</f>
        <v>137613</v>
      </c>
      <c r="G41" s="6">
        <v>0</v>
      </c>
      <c r="H41" s="6">
        <v>0</v>
      </c>
      <c r="I41" s="6">
        <v>0</v>
      </c>
      <c r="J41" s="6">
        <f>SUM(B41:I41)</f>
        <v>395040</v>
      </c>
      <c r="K41" s="8">
        <f>J41*269</f>
        <v>106265760</v>
      </c>
    </row>
    <row r="42" spans="1:11" ht="18.75" x14ac:dyDescent="0.3">
      <c r="A42" s="6" t="s">
        <v>14</v>
      </c>
      <c r="B42" s="6">
        <f>B41-B39-C39</f>
        <v>14800.449999999837</v>
      </c>
      <c r="C42" s="6">
        <v>0</v>
      </c>
      <c r="D42" s="6">
        <f>D41-D39-E39</f>
        <v>17649.72</v>
      </c>
      <c r="E42" s="6"/>
      <c r="F42" s="7">
        <f>F41-F39-G39-H39-I39</f>
        <v>24349.980000000098</v>
      </c>
      <c r="G42" s="6">
        <v>0</v>
      </c>
      <c r="H42" s="6">
        <f>H41</f>
        <v>0</v>
      </c>
      <c r="I42" s="6">
        <v>0</v>
      </c>
      <c r="J42" s="6">
        <f>SUM(B42:I42)</f>
        <v>56800.149999999936</v>
      </c>
      <c r="K42" s="8">
        <f>J42*269</f>
        <v>15279240.349999983</v>
      </c>
    </row>
    <row r="43" spans="1:11" ht="18.75" x14ac:dyDescent="0.3">
      <c r="A43" s="6"/>
      <c r="B43" s="6">
        <v>0</v>
      </c>
      <c r="C43" s="6">
        <v>0</v>
      </c>
      <c r="D43" s="6">
        <v>0</v>
      </c>
      <c r="E43" s="6"/>
      <c r="F43" s="6">
        <v>0</v>
      </c>
      <c r="G43" s="6">
        <v>0</v>
      </c>
      <c r="H43" s="6"/>
      <c r="I43" s="6">
        <v>0</v>
      </c>
      <c r="J43" s="6">
        <v>0</v>
      </c>
      <c r="K43" s="5" t="s">
        <v>15</v>
      </c>
    </row>
    <row r="44" spans="1:11" ht="18.75" x14ac:dyDescent="0.3">
      <c r="A44" s="6" t="s">
        <v>16</v>
      </c>
      <c r="B44" s="6">
        <f>B42+B39+C39+D39+E39-B41</f>
        <v>102398.28</v>
      </c>
      <c r="C44" s="6">
        <v>0</v>
      </c>
      <c r="D44" s="6">
        <v>0</v>
      </c>
      <c r="E44" s="9">
        <f>D44/10</f>
        <v>0</v>
      </c>
      <c r="F44" s="6">
        <f>F42+F39+G39+H39+I39-F41</f>
        <v>0</v>
      </c>
      <c r="G44" s="6">
        <v>0</v>
      </c>
      <c r="H44" s="6">
        <v>0</v>
      </c>
      <c r="I44" s="6">
        <v>0</v>
      </c>
      <c r="J44" s="6">
        <f>SUM(B44:I44)</f>
        <v>102398.28</v>
      </c>
      <c r="K44" s="6"/>
    </row>
    <row r="45" spans="1:11" ht="18.75" x14ac:dyDescent="0.3">
      <c r="A45" s="6">
        <v>0</v>
      </c>
      <c r="B45" s="6">
        <v>0</v>
      </c>
      <c r="C45" s="6">
        <v>0</v>
      </c>
      <c r="D45" s="6">
        <v>0</v>
      </c>
      <c r="E45" s="6"/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ht="18.75" x14ac:dyDescent="0.3">
      <c r="A46" s="6">
        <v>0</v>
      </c>
      <c r="B46" s="6">
        <f>B41-B42</f>
        <v>122578.55000000016</v>
      </c>
      <c r="C46" s="6" t="s">
        <v>17</v>
      </c>
      <c r="D46" s="6">
        <v>0</v>
      </c>
      <c r="E46" s="6">
        <v>0</v>
      </c>
      <c r="F46" s="6">
        <f>F41-F42</f>
        <v>113263.0199999999</v>
      </c>
      <c r="G46" s="6">
        <v>0</v>
      </c>
      <c r="H46" s="6">
        <v>0</v>
      </c>
      <c r="I46" s="6">
        <f>I41-I42</f>
        <v>0</v>
      </c>
      <c r="J46" s="6">
        <f>J41-J42</f>
        <v>338239.85000000009</v>
      </c>
      <c r="K46" s="10">
        <v>0</v>
      </c>
    </row>
    <row r="47" spans="1:11" ht="18.75" x14ac:dyDescent="0.3">
      <c r="A47" s="6">
        <v>0</v>
      </c>
      <c r="B47" s="6">
        <f>B46/20*0.2</f>
        <v>1225.7855000000015</v>
      </c>
      <c r="C47" s="6">
        <v>0</v>
      </c>
      <c r="D47" s="6">
        <v>0</v>
      </c>
      <c r="E47" s="6"/>
      <c r="F47" s="6">
        <f>F46/20*0.2</f>
        <v>1132.6301999999991</v>
      </c>
      <c r="G47" s="6">
        <v>0</v>
      </c>
      <c r="H47" s="6">
        <v>0</v>
      </c>
      <c r="I47" s="6">
        <f>I46/20*0.6</f>
        <v>0</v>
      </c>
      <c r="J47" s="6">
        <f>J46/20*0.6</f>
        <v>10147.195500000002</v>
      </c>
      <c r="K47" s="11">
        <v>0</v>
      </c>
    </row>
    <row r="48" spans="1:11" ht="18.75" x14ac:dyDescent="0.3">
      <c r="A48" s="6">
        <v>0</v>
      </c>
      <c r="B48" s="6">
        <f>B44-B47</f>
        <v>101172.4945</v>
      </c>
      <c r="C48" s="6">
        <v>0</v>
      </c>
      <c r="D48" s="6">
        <v>0</v>
      </c>
      <c r="E48" s="6">
        <v>0</v>
      </c>
      <c r="F48" s="6">
        <f>F44-F47</f>
        <v>-1132.6301999999991</v>
      </c>
      <c r="G48" s="6">
        <v>0</v>
      </c>
      <c r="H48" s="6">
        <v>0</v>
      </c>
      <c r="I48" s="6">
        <f>I44-I47</f>
        <v>0</v>
      </c>
      <c r="J48" s="6">
        <f>J44-J47</f>
        <v>92251.084499999997</v>
      </c>
      <c r="K48" s="6" t="s">
        <v>18</v>
      </c>
    </row>
    <row r="49" spans="1:11" ht="18.75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8.75" x14ac:dyDescent="0.3">
      <c r="A50" s="6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10">
        <v>0</v>
      </c>
      <c r="I50" s="6">
        <f>I45-I48</f>
        <v>0</v>
      </c>
      <c r="J50" s="6">
        <v>0</v>
      </c>
      <c r="K50" s="6"/>
    </row>
    <row r="51" spans="1:11" ht="18.75" x14ac:dyDescent="0.3">
      <c r="A51" s="6"/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f>I46-I50</f>
        <v>0</v>
      </c>
      <c r="J51" s="6">
        <v>0</v>
      </c>
      <c r="K51" s="10">
        <v>0</v>
      </c>
    </row>
    <row r="52" spans="1:11" ht="18.7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ht="18.75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18.75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8.7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ht="18.75" x14ac:dyDescent="0.3">
      <c r="A56" s="6"/>
      <c r="B56" s="6"/>
      <c r="C56" s="6"/>
      <c r="D56" s="6"/>
      <c r="E56" s="6"/>
      <c r="F56" s="6"/>
      <c r="G56" s="6"/>
      <c r="H56" s="6"/>
      <c r="I56" s="6"/>
      <c r="J56" s="9"/>
      <c r="K56" s="6"/>
    </row>
    <row r="57" spans="1:11" ht="18.75" x14ac:dyDescent="0.3">
      <c r="A57" s="6"/>
      <c r="B57" s="12"/>
      <c r="C57" s="12"/>
      <c r="D57" s="12"/>
      <c r="E57" s="12"/>
      <c r="F57" s="12"/>
      <c r="G57" s="12"/>
      <c r="H57" s="12"/>
      <c r="I57" s="12"/>
      <c r="J57" s="9"/>
      <c r="K57" s="6"/>
    </row>
    <row r="58" spans="1:11" ht="18.75" x14ac:dyDescent="0.3">
      <c r="A58" s="6"/>
      <c r="B58" s="6"/>
      <c r="C58" s="6"/>
      <c r="D58" s="6"/>
      <c r="E58" s="6"/>
      <c r="F58" s="6"/>
      <c r="G58" s="6"/>
      <c r="H58" s="6"/>
      <c r="I58" s="6"/>
      <c r="J58" s="9"/>
      <c r="K58" s="6"/>
    </row>
    <row r="59" spans="1:11" ht="18.75" x14ac:dyDescent="0.3">
      <c r="A59" s="6"/>
      <c r="B59" s="6"/>
      <c r="C59" s="6"/>
      <c r="D59" s="6"/>
      <c r="E59" s="6"/>
      <c r="F59" s="6"/>
      <c r="G59" s="6"/>
      <c r="H59" s="6"/>
      <c r="I59" s="6"/>
      <c r="J59" s="9"/>
      <c r="K59" s="6"/>
    </row>
    <row r="60" spans="1:11" ht="18.75" x14ac:dyDescent="0.3">
      <c r="A60" s="6"/>
      <c r="B60" s="6"/>
      <c r="C60" s="6"/>
      <c r="D60" s="6"/>
      <c r="E60" s="6"/>
      <c r="F60" s="6"/>
      <c r="G60" s="6"/>
      <c r="H60" s="6"/>
      <c r="I60" s="6"/>
      <c r="J60" s="9"/>
      <c r="K60" s="6"/>
    </row>
    <row r="61" spans="1:11" ht="18.75" x14ac:dyDescent="0.3">
      <c r="A61" s="6"/>
      <c r="B61" s="12"/>
      <c r="C61" s="12"/>
      <c r="D61" s="6"/>
      <c r="E61" s="12"/>
      <c r="F61" s="12"/>
      <c r="G61" s="12"/>
      <c r="H61" s="6"/>
      <c r="I61" s="6"/>
      <c r="J61" s="9"/>
      <c r="K61" s="6"/>
    </row>
    <row r="62" spans="1:11" ht="18.75" x14ac:dyDescent="0.3">
      <c r="A62" s="6"/>
      <c r="B62" s="12"/>
      <c r="C62" s="12"/>
      <c r="D62" s="12"/>
      <c r="E62" s="12"/>
      <c r="F62" s="12"/>
      <c r="G62" s="6"/>
      <c r="H62" s="6"/>
      <c r="I62" s="6"/>
      <c r="J62" s="9"/>
      <c r="K62" s="6"/>
    </row>
    <row r="63" spans="1:11" ht="18.75" x14ac:dyDescent="0.3">
      <c r="A63" s="12"/>
      <c r="B63" s="12"/>
      <c r="C63" s="12"/>
      <c r="D63" s="6"/>
      <c r="E63" s="6"/>
      <c r="F63" s="6"/>
      <c r="G63" s="6"/>
      <c r="H63" s="6"/>
      <c r="I63" s="6"/>
      <c r="J63" s="9"/>
      <c r="K63" s="6"/>
    </row>
    <row r="64" spans="1:11" ht="18.75" x14ac:dyDescent="0.3">
      <c r="A64" s="12"/>
      <c r="B64" s="12"/>
      <c r="C64" s="12"/>
      <c r="D64" s="6"/>
      <c r="E64" s="6"/>
      <c r="F64" s="6"/>
      <c r="G64" s="6"/>
      <c r="H64" s="6"/>
      <c r="I64" s="6"/>
      <c r="J64" s="6"/>
      <c r="K64" s="6"/>
    </row>
    <row r="65" spans="1:11" ht="18.75" x14ac:dyDescent="0.3">
      <c r="A65" s="12"/>
      <c r="B65" s="12"/>
      <c r="C65" s="6"/>
      <c r="D65" s="6"/>
      <c r="E65" s="6"/>
      <c r="F65" s="6"/>
      <c r="G65" s="6"/>
      <c r="H65" s="6"/>
      <c r="I65" s="6"/>
      <c r="J65" s="6"/>
      <c r="K65" s="6"/>
    </row>
    <row r="66" spans="1:11" ht="18.75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ht="18.75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ht="18.75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ht="18.75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ht="18.75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ht="18.75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ht="18.75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18.75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ht="18.75" x14ac:dyDescent="0.3">
      <c r="A74" s="12"/>
      <c r="B74" s="12"/>
      <c r="C74" s="6"/>
      <c r="D74" s="6"/>
      <c r="E74" s="6"/>
      <c r="F74" s="6"/>
      <c r="G74" s="6"/>
      <c r="H74" s="6"/>
      <c r="I74" s="6"/>
      <c r="J74" s="6"/>
      <c r="K74" s="6"/>
    </row>
    <row r="75" spans="1:11" ht="18.75" x14ac:dyDescent="0.3">
      <c r="A75" s="12"/>
      <c r="B75" s="12"/>
      <c r="C75" s="6"/>
      <c r="D75" s="6"/>
      <c r="E75" s="6"/>
      <c r="F75" s="6"/>
      <c r="G75" s="6"/>
      <c r="H75" s="6"/>
      <c r="I75" s="6"/>
      <c r="J75" s="6"/>
      <c r="K75" s="6"/>
    </row>
    <row r="76" spans="1:11" ht="18.75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ht="18.75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ht="18.75" x14ac:dyDescent="0.3">
      <c r="A78" s="6"/>
      <c r="B78" s="6"/>
      <c r="C78" s="12"/>
      <c r="D78" s="12"/>
      <c r="E78" s="6"/>
      <c r="F78" s="6"/>
      <c r="G78" s="6"/>
      <c r="H78" s="6"/>
      <c r="I78" s="6"/>
      <c r="J78" s="6"/>
      <c r="K78" s="6"/>
    </row>
    <row r="79" spans="1:11" ht="18.75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ht="18.75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8.75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t="18.75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t="18.75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8.75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8.75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8.75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8.75" x14ac:dyDescent="0.3">
      <c r="A87" s="6"/>
      <c r="B87" s="12"/>
      <c r="C87" s="12"/>
      <c r="D87" s="12"/>
      <c r="E87" s="12"/>
      <c r="F87" s="12"/>
      <c r="G87" s="6"/>
      <c r="H87" s="12"/>
      <c r="I87" s="6"/>
      <c r="J87" s="6"/>
      <c r="K87" s="6"/>
    </row>
    <row r="88" spans="1:11" ht="18.75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8.75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18.75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8.75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8.75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18.75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18.75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18.75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18.75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ht="18.75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ht="18.75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ht="18.75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ht="18.75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ht="18.75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ht="18.75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ht="18.75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18.75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ht="18.75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ht="18.75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ht="18.75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ht="18.75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ht="18.75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ht="18.75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ht="18.75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ht="18.75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ht="18.75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ht="18.75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ht="18.75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ht="18.75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ht="18.7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8.7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8.75" x14ac:dyDescent="0.3">
      <c r="A119" s="6"/>
      <c r="B119" s="7"/>
      <c r="C119" s="1"/>
      <c r="D119" s="1"/>
      <c r="E119" s="1"/>
      <c r="F119" s="1"/>
      <c r="G119" s="1"/>
      <c r="H119" s="1"/>
      <c r="I119" s="1"/>
      <c r="J119" s="6"/>
      <c r="K119" s="1"/>
    </row>
    <row r="120" spans="1:11" ht="18.75" x14ac:dyDescent="0.3">
      <c r="A120" s="6"/>
      <c r="B120" s="7"/>
      <c r="C120" s="1"/>
      <c r="D120" s="1"/>
      <c r="E120" s="1"/>
      <c r="F120" s="1"/>
      <c r="G120" s="1"/>
      <c r="H120" s="1"/>
      <c r="I120" s="1"/>
      <c r="J120" s="6"/>
      <c r="K120" s="1"/>
    </row>
    <row r="121" spans="1:11" ht="18.75" x14ac:dyDescent="0.3">
      <c r="A121" s="6"/>
      <c r="B121" s="7"/>
      <c r="C121" s="1"/>
      <c r="D121" s="1"/>
      <c r="E121" s="1"/>
      <c r="F121" s="1"/>
      <c r="G121" s="1"/>
      <c r="H121" s="1"/>
      <c r="I121" s="1"/>
      <c r="J121" s="6"/>
      <c r="K121" s="1"/>
    </row>
    <row r="122" spans="1:11" ht="18.75" x14ac:dyDescent="0.3">
      <c r="A122" s="6"/>
      <c r="B122" s="7"/>
      <c r="C122" s="1"/>
      <c r="D122" s="1"/>
      <c r="E122" s="1"/>
      <c r="F122" s="1"/>
      <c r="G122" s="1"/>
      <c r="H122" s="1"/>
      <c r="I122" s="1"/>
      <c r="J122" s="6"/>
      <c r="K122" s="1"/>
    </row>
    <row r="123" spans="1:11" ht="18.75" x14ac:dyDescent="0.3">
      <c r="A123" s="6"/>
      <c r="B123" s="7"/>
      <c r="C123" s="1"/>
      <c r="D123" s="1"/>
      <c r="E123" s="1"/>
      <c r="F123" s="1"/>
      <c r="G123" s="1"/>
      <c r="H123" s="1"/>
      <c r="I123" s="1"/>
      <c r="J123" s="6"/>
      <c r="K123" s="1"/>
    </row>
    <row r="124" spans="1:11" ht="18.75" x14ac:dyDescent="0.3">
      <c r="A124" s="6"/>
      <c r="B124" s="7"/>
      <c r="C124" s="1"/>
      <c r="D124" s="1"/>
      <c r="E124" s="1"/>
      <c r="F124" s="1"/>
      <c r="G124" s="1"/>
      <c r="H124" s="1"/>
      <c r="I124" s="1"/>
      <c r="J124" s="6"/>
      <c r="K124" s="1"/>
    </row>
    <row r="125" spans="1:11" ht="18.75" x14ac:dyDescent="0.3">
      <c r="A125" s="6"/>
      <c r="B125" s="7"/>
      <c r="C125" s="1"/>
      <c r="D125" s="1"/>
      <c r="E125" s="1"/>
      <c r="F125" s="1"/>
      <c r="G125" s="1"/>
      <c r="H125" s="1"/>
      <c r="I125" s="1"/>
      <c r="J125" s="6"/>
      <c r="K125" s="1"/>
    </row>
    <row r="126" spans="1:11" ht="18.75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ht="18.75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ht="18.75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ht="18.75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ht="18.7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8.7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8.7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8.7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8.7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8.7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8.7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8.7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8.7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8.7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8.7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8.7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8.7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8.7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8.7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 t="s">
        <v>0</v>
      </c>
      <c r="K144" s="1" t="s">
        <v>1</v>
      </c>
    </row>
    <row r="145" spans="1:11" ht="18.75" x14ac:dyDescent="0.3">
      <c r="A145" s="1"/>
      <c r="B145" s="1" t="s">
        <v>2</v>
      </c>
      <c r="C145" s="1" t="s">
        <v>3</v>
      </c>
      <c r="D145" s="1" t="s">
        <v>4</v>
      </c>
      <c r="E145" s="1" t="s">
        <v>5</v>
      </c>
      <c r="F145" s="1" t="s">
        <v>6</v>
      </c>
      <c r="G145" s="1" t="s">
        <v>7</v>
      </c>
      <c r="H145" s="1" t="s">
        <v>8</v>
      </c>
      <c r="I145" s="1" t="s">
        <v>9</v>
      </c>
      <c r="J145" s="1" t="s">
        <v>1</v>
      </c>
      <c r="K145" s="1"/>
    </row>
    <row r="146" spans="1:11" ht="18.75" x14ac:dyDescent="0.3">
      <c r="A146" s="2">
        <v>44958</v>
      </c>
      <c r="B146" s="3">
        <f>627010.65-625652.17</f>
        <v>1358.4799999999814</v>
      </c>
      <c r="C146" s="3">
        <f>813749.28-813749.28</f>
        <v>0</v>
      </c>
      <c r="D146" s="1">
        <f>152425.75-151523.21</f>
        <v>902.54000000000815</v>
      </c>
      <c r="E146" s="3">
        <f t="shared" ref="E146:E153" si="12">326518.3-326518.3</f>
        <v>0</v>
      </c>
      <c r="F146" s="1">
        <f>831217.21-830252.83</f>
        <v>964.38000000000466</v>
      </c>
      <c r="G146" s="1">
        <f>541430.44-540751.02</f>
        <v>679.41999999992549</v>
      </c>
      <c r="H146" s="1">
        <f t="shared" ref="H146:H173" si="13">1081662-1081662</f>
        <v>0</v>
      </c>
      <c r="I146" s="1"/>
      <c r="J146" s="3">
        <f t="shared" ref="J146" si="14">SUM(B146:I146)</f>
        <v>3904.8199999999197</v>
      </c>
      <c r="K146" s="4">
        <f>J146*335</f>
        <v>1308114.6999999732</v>
      </c>
    </row>
    <row r="147" spans="1:11" ht="18.75" x14ac:dyDescent="0.3">
      <c r="A147" s="2">
        <v>44959</v>
      </c>
      <c r="B147" s="3">
        <f t="shared" ref="B147:B152" si="15">627010.65-627010.65</f>
        <v>0</v>
      </c>
      <c r="C147" s="3">
        <f>814078.98-813749.28</f>
        <v>329.69999999995343</v>
      </c>
      <c r="D147" s="1">
        <f>154170.18-152425.75</f>
        <v>1744.429999999993</v>
      </c>
      <c r="E147" s="3">
        <f t="shared" si="12"/>
        <v>0</v>
      </c>
      <c r="F147" s="1">
        <f>833106.7-831217.21</f>
        <v>1889.4899999999907</v>
      </c>
      <c r="G147" s="1">
        <f t="shared" ref="G147:G154" si="16">541430.44-541430.44</f>
        <v>0</v>
      </c>
      <c r="H147" s="1">
        <f t="shared" si="13"/>
        <v>0</v>
      </c>
      <c r="I147" s="1"/>
      <c r="J147" s="3">
        <f t="shared" ref="J147" si="17">SUM(B147:I147)</f>
        <v>3963.6199999999371</v>
      </c>
      <c r="K147" s="4">
        <f t="shared" ref="K147:K173" si="18">J147*335</f>
        <v>1327812.699999979</v>
      </c>
    </row>
    <row r="148" spans="1:11" ht="18.75" x14ac:dyDescent="0.3">
      <c r="A148" s="2">
        <v>44960</v>
      </c>
      <c r="B148" s="3">
        <f t="shared" si="15"/>
        <v>0</v>
      </c>
      <c r="C148" s="3">
        <f>814587.89-814078.98</f>
        <v>508.9100000000326</v>
      </c>
      <c r="D148" s="1">
        <f>154525.85-154170.18</f>
        <v>355.67000000001281</v>
      </c>
      <c r="E148" s="3">
        <f t="shared" si="12"/>
        <v>0</v>
      </c>
      <c r="F148" s="1">
        <f>834319.32-833106.7</f>
        <v>1212.6199999999953</v>
      </c>
      <c r="G148" s="1">
        <f t="shared" si="16"/>
        <v>0</v>
      </c>
      <c r="H148" s="1">
        <f t="shared" si="13"/>
        <v>0</v>
      </c>
      <c r="I148" s="1"/>
      <c r="J148" s="3">
        <f t="shared" ref="J148:J154" si="19">SUM(B148:I148)</f>
        <v>2077.2000000000407</v>
      </c>
      <c r="K148" s="4">
        <f t="shared" si="18"/>
        <v>695862.00000001362</v>
      </c>
    </row>
    <row r="149" spans="1:11" ht="18.75" x14ac:dyDescent="0.3">
      <c r="A149" s="2">
        <v>44961</v>
      </c>
      <c r="B149" s="3">
        <f t="shared" si="15"/>
        <v>0</v>
      </c>
      <c r="C149" s="3">
        <f>815052.17-814587.89</f>
        <v>464.28000000002794</v>
      </c>
      <c r="D149" s="1">
        <f>155680.34-154525.85</f>
        <v>1154.4899999999907</v>
      </c>
      <c r="E149" s="3">
        <f t="shared" si="12"/>
        <v>0</v>
      </c>
      <c r="F149" s="1">
        <f>835368.78-834319.32</f>
        <v>1049.4600000000792</v>
      </c>
      <c r="G149" s="1">
        <f t="shared" si="16"/>
        <v>0</v>
      </c>
      <c r="H149" s="1">
        <f t="shared" si="13"/>
        <v>0</v>
      </c>
      <c r="I149" s="1"/>
      <c r="J149" s="3">
        <f t="shared" si="19"/>
        <v>2668.2300000000978</v>
      </c>
      <c r="K149" s="4">
        <f t="shared" si="18"/>
        <v>893857.05000003276</v>
      </c>
    </row>
    <row r="150" spans="1:11" ht="18.75" x14ac:dyDescent="0.3">
      <c r="A150" s="2">
        <v>44962</v>
      </c>
      <c r="B150" s="3">
        <f t="shared" si="15"/>
        <v>0</v>
      </c>
      <c r="C150" s="3">
        <f>815052.17-815052.17</f>
        <v>0</v>
      </c>
      <c r="D150" s="1">
        <f>156359.39-155680.34</f>
        <v>679.05000000001746</v>
      </c>
      <c r="E150" s="3">
        <f t="shared" si="12"/>
        <v>0</v>
      </c>
      <c r="F150" s="1">
        <f>836307.9-835368.78</f>
        <v>939.11999999999534</v>
      </c>
      <c r="G150" s="1">
        <f t="shared" si="16"/>
        <v>0</v>
      </c>
      <c r="H150" s="1">
        <f t="shared" si="13"/>
        <v>0</v>
      </c>
      <c r="I150" s="1"/>
      <c r="J150" s="3">
        <f t="shared" si="19"/>
        <v>1618.1700000000128</v>
      </c>
      <c r="K150" s="4">
        <f t="shared" si="18"/>
        <v>542086.95000000426</v>
      </c>
    </row>
    <row r="151" spans="1:11" ht="18.75" x14ac:dyDescent="0.3">
      <c r="A151" s="2">
        <v>44963</v>
      </c>
      <c r="B151" s="3">
        <f t="shared" si="15"/>
        <v>0</v>
      </c>
      <c r="C151" s="3">
        <f>815052.17-815052.17</f>
        <v>0</v>
      </c>
      <c r="D151" s="1">
        <f>157079.44-156359.39</f>
        <v>720.04999999998836</v>
      </c>
      <c r="E151" s="3">
        <f t="shared" si="12"/>
        <v>0</v>
      </c>
      <c r="F151" s="1">
        <f>837521.11-836307.9</f>
        <v>1213.2099999999627</v>
      </c>
      <c r="G151" s="1">
        <f t="shared" si="16"/>
        <v>0</v>
      </c>
      <c r="H151" s="1">
        <f t="shared" si="13"/>
        <v>0</v>
      </c>
      <c r="I151" s="1"/>
      <c r="J151" s="3">
        <f t="shared" si="19"/>
        <v>1933.2599999999511</v>
      </c>
      <c r="K151" s="4">
        <f t="shared" si="18"/>
        <v>647642.09999998356</v>
      </c>
    </row>
    <row r="152" spans="1:11" ht="18.75" x14ac:dyDescent="0.3">
      <c r="A152" s="2">
        <v>44964</v>
      </c>
      <c r="B152" s="3">
        <f t="shared" si="15"/>
        <v>0</v>
      </c>
      <c r="C152" s="3">
        <f>815052.17-815052.17</f>
        <v>0</v>
      </c>
      <c r="D152" s="1">
        <f>157560.92-157079.44</f>
        <v>481.48000000001048</v>
      </c>
      <c r="E152" s="3">
        <f t="shared" si="12"/>
        <v>0</v>
      </c>
      <c r="F152" s="1">
        <f>839076.33-837521.11</f>
        <v>1555.2199999999721</v>
      </c>
      <c r="G152" s="1">
        <f t="shared" si="16"/>
        <v>0</v>
      </c>
      <c r="H152" s="1">
        <f t="shared" si="13"/>
        <v>0</v>
      </c>
      <c r="I152" s="1"/>
      <c r="J152" s="3">
        <f t="shared" si="19"/>
        <v>2036.6999999999825</v>
      </c>
      <c r="K152" s="4">
        <f t="shared" si="18"/>
        <v>682294.49999999418</v>
      </c>
    </row>
    <row r="153" spans="1:11" ht="18.75" x14ac:dyDescent="0.3">
      <c r="A153" s="2">
        <v>44965</v>
      </c>
      <c r="B153" s="3">
        <f>628050.51-627010.65</f>
        <v>1039.859999999986</v>
      </c>
      <c r="C153" s="3">
        <f>815707.65-815052.17</f>
        <v>655.47999999998137</v>
      </c>
      <c r="D153" s="1">
        <f>158320.75-157560.92</f>
        <v>759.82999999998719</v>
      </c>
      <c r="E153" s="3">
        <f t="shared" si="12"/>
        <v>0</v>
      </c>
      <c r="F153" s="1">
        <f>840308.59-839076.33</f>
        <v>1232.2600000000093</v>
      </c>
      <c r="G153" s="1">
        <f t="shared" si="16"/>
        <v>0</v>
      </c>
      <c r="H153" s="1">
        <f t="shared" si="13"/>
        <v>0</v>
      </c>
      <c r="I153" s="1"/>
      <c r="J153" s="3">
        <f t="shared" si="19"/>
        <v>3687.4299999999639</v>
      </c>
      <c r="K153" s="4">
        <f t="shared" si="18"/>
        <v>1235289.0499999879</v>
      </c>
    </row>
    <row r="154" spans="1:11" ht="18.75" x14ac:dyDescent="0.3">
      <c r="A154" s="2">
        <v>44966</v>
      </c>
      <c r="B154" s="3">
        <f>628051.72-628050.51</f>
        <v>1.2099999999627471</v>
      </c>
      <c r="C154" s="3">
        <f>815707.65-815707.65</f>
        <v>0</v>
      </c>
      <c r="D154" s="1">
        <f>159871-158320.75</f>
        <v>1550.25</v>
      </c>
      <c r="E154" s="3">
        <f>327745.17-326518.3</f>
        <v>1226.8699999999953</v>
      </c>
      <c r="F154" s="1">
        <f>842321.49-840308.59</f>
        <v>2012.9000000000233</v>
      </c>
      <c r="G154" s="1">
        <f t="shared" si="16"/>
        <v>0</v>
      </c>
      <c r="H154" s="1">
        <f t="shared" si="13"/>
        <v>0</v>
      </c>
      <c r="I154" s="1"/>
      <c r="J154" s="3">
        <f t="shared" si="19"/>
        <v>4791.2299999999814</v>
      </c>
      <c r="K154" s="4">
        <f t="shared" si="18"/>
        <v>1605062.0499999938</v>
      </c>
    </row>
    <row r="155" spans="1:11" ht="18.75" x14ac:dyDescent="0.3">
      <c r="A155" s="2">
        <v>44967</v>
      </c>
      <c r="B155" s="3">
        <f>628051.72-628051.72</f>
        <v>0</v>
      </c>
      <c r="C155" s="3">
        <f>815707.66-815707.65</f>
        <v>1.0000000009313226E-2</v>
      </c>
      <c r="D155" s="1">
        <f>160898.77-159871</f>
        <v>1027.7699999999895</v>
      </c>
      <c r="E155" s="3">
        <f>328573.78-327745.17</f>
        <v>828.61000000004424</v>
      </c>
      <c r="F155" s="1">
        <f>845174.73-842321.49</f>
        <v>2853.2399999999907</v>
      </c>
      <c r="G155" s="1">
        <f>541438.64-541430.44</f>
        <v>8.2000000000698492</v>
      </c>
      <c r="H155" s="1">
        <f t="shared" si="13"/>
        <v>0</v>
      </c>
      <c r="I155" s="1"/>
      <c r="J155" s="3">
        <f t="shared" ref="J155:J163" si="20">SUM(B155:I155)</f>
        <v>4717.8300000001036</v>
      </c>
      <c r="K155" s="4">
        <f t="shared" si="18"/>
        <v>1580473.0500000347</v>
      </c>
    </row>
    <row r="156" spans="1:11" ht="18.75" x14ac:dyDescent="0.3">
      <c r="A156" s="2">
        <v>44968</v>
      </c>
      <c r="B156" s="3">
        <f>628831.19-628051.72</f>
        <v>779.46999999997206</v>
      </c>
      <c r="C156" s="3">
        <f>817309.83-815707.66</f>
        <v>1602.1699999999255</v>
      </c>
      <c r="D156" s="1">
        <f>160933.58-160898.77</f>
        <v>34.809999999997672</v>
      </c>
      <c r="E156" s="3">
        <f>328579.97-328573.78</f>
        <v>6.1899999999441206</v>
      </c>
      <c r="F156" s="1">
        <f>846838.09-845174.73</f>
        <v>1663.359999999986</v>
      </c>
      <c r="G156" s="1">
        <f>541833.72-541438.64</f>
        <v>395.07999999995809</v>
      </c>
      <c r="H156" s="1">
        <f t="shared" si="13"/>
        <v>0</v>
      </c>
      <c r="I156" s="1"/>
      <c r="J156" s="3">
        <f t="shared" si="20"/>
        <v>4481.0799999997835</v>
      </c>
      <c r="K156" s="4">
        <f t="shared" si="18"/>
        <v>1501161.7999999274</v>
      </c>
    </row>
    <row r="157" spans="1:11" ht="18.75" x14ac:dyDescent="0.3">
      <c r="A157" s="2">
        <v>44969</v>
      </c>
      <c r="B157" s="3">
        <f>630065.46-628831.19</f>
        <v>1234.2700000000186</v>
      </c>
      <c r="C157" s="3">
        <f>818526.06-817309.83</f>
        <v>1216.2300000000978</v>
      </c>
      <c r="D157" s="1">
        <f>160933.58-160933.58</f>
        <v>0</v>
      </c>
      <c r="E157" s="3">
        <f>328579.97-328579.97</f>
        <v>0</v>
      </c>
      <c r="F157" s="1">
        <f>849225.9-846838.09</f>
        <v>2387.8100000000559</v>
      </c>
      <c r="G157" s="1">
        <f>541833.72-541833.72</f>
        <v>0</v>
      </c>
      <c r="H157" s="1">
        <f t="shared" si="13"/>
        <v>0</v>
      </c>
      <c r="I157" s="1"/>
      <c r="J157" s="3">
        <f t="shared" si="20"/>
        <v>4838.3100000001723</v>
      </c>
      <c r="K157" s="4">
        <f t="shared" si="18"/>
        <v>1620833.8500000578</v>
      </c>
    </row>
    <row r="158" spans="1:11" ht="18.75" x14ac:dyDescent="0.3">
      <c r="A158" s="2">
        <v>44970</v>
      </c>
      <c r="B158" s="3">
        <f>631415.92-630065.46</f>
        <v>1350.4600000000792</v>
      </c>
      <c r="C158" s="3">
        <f>819819.34-818526.06</f>
        <v>1293.2799999999115</v>
      </c>
      <c r="D158" s="1">
        <f>160939.13-160933.58</f>
        <v>5.5500000000174623</v>
      </c>
      <c r="E158" s="3">
        <f>328591.7-328579.97</f>
        <v>11.730000000039581</v>
      </c>
      <c r="F158" s="1">
        <f>850628.07-849225.9</f>
        <v>1402.1699999999255</v>
      </c>
      <c r="G158" s="1">
        <f>541833.72-541833.72</f>
        <v>0</v>
      </c>
      <c r="H158" s="1">
        <f t="shared" si="13"/>
        <v>0</v>
      </c>
      <c r="I158" s="1"/>
      <c r="J158" s="3">
        <f t="shared" si="20"/>
        <v>4063.1899999999732</v>
      </c>
      <c r="K158" s="4">
        <f t="shared" si="18"/>
        <v>1361168.6499999911</v>
      </c>
    </row>
    <row r="159" spans="1:11" ht="18.75" x14ac:dyDescent="0.3">
      <c r="A159" s="2">
        <v>44971</v>
      </c>
      <c r="B159" s="3">
        <f>632391.49-631415.92</f>
        <v>975.56999999994878</v>
      </c>
      <c r="C159" s="3">
        <f>820705.82-819819.34</f>
        <v>886.47999999998137</v>
      </c>
      <c r="D159" s="1">
        <f>161570.99-160939.13</f>
        <v>631.85999999998603</v>
      </c>
      <c r="E159" s="3">
        <f t="shared" ref="E159:E168" si="21">328591.7-328591.7</f>
        <v>0</v>
      </c>
      <c r="F159" s="1">
        <f>851552.44-850628.07</f>
        <v>924.36999999999534</v>
      </c>
      <c r="G159" s="1">
        <f>541833.72-541833.72</f>
        <v>0</v>
      </c>
      <c r="H159" s="1">
        <f t="shared" si="13"/>
        <v>0</v>
      </c>
      <c r="I159" s="1"/>
      <c r="J159" s="3">
        <f t="shared" si="20"/>
        <v>3418.2799999999115</v>
      </c>
      <c r="K159" s="4">
        <f t="shared" si="18"/>
        <v>1145123.7999999705</v>
      </c>
    </row>
    <row r="160" spans="1:11" ht="18.75" x14ac:dyDescent="0.3">
      <c r="A160" s="2">
        <v>44972</v>
      </c>
      <c r="B160" s="3">
        <f>633197.31-632391.49</f>
        <v>805.82000000006519</v>
      </c>
      <c r="C160" s="3">
        <f>821143.3-820705.82</f>
        <v>437.48000000009779</v>
      </c>
      <c r="D160" s="1">
        <f>161985.28-161570.99</f>
        <v>414.29000000000815</v>
      </c>
      <c r="E160" s="3">
        <f t="shared" si="21"/>
        <v>0</v>
      </c>
      <c r="F160" s="1">
        <f>852965.43-851552.44</f>
        <v>1412.9900000001071</v>
      </c>
      <c r="G160" s="1">
        <f>541833.72-541833.72</f>
        <v>0</v>
      </c>
      <c r="H160" s="1">
        <f t="shared" si="13"/>
        <v>0</v>
      </c>
      <c r="I160" s="1"/>
      <c r="J160" s="3">
        <f t="shared" si="20"/>
        <v>3070.5800000002782</v>
      </c>
      <c r="K160" s="4">
        <f t="shared" si="18"/>
        <v>1028644.3000000932</v>
      </c>
    </row>
    <row r="161" spans="1:11" ht="18.75" x14ac:dyDescent="0.3">
      <c r="A161" s="2">
        <v>44973</v>
      </c>
      <c r="B161" s="3">
        <f>633999.57-633197.31</f>
        <v>802.2599999998929</v>
      </c>
      <c r="C161" s="3">
        <f>821898.88-821143.3</f>
        <v>755.57999999995809</v>
      </c>
      <c r="D161" s="1">
        <f>162410.02-161985.28</f>
        <v>424.73999999999069</v>
      </c>
      <c r="E161" s="3">
        <f t="shared" si="21"/>
        <v>0</v>
      </c>
      <c r="F161" s="1">
        <f>853635.85-852965.43</f>
        <v>670.41999999992549</v>
      </c>
      <c r="G161" s="1">
        <f>542231.48-541833.72</f>
        <v>397.76000000000931</v>
      </c>
      <c r="H161" s="1">
        <f t="shared" si="13"/>
        <v>0</v>
      </c>
      <c r="I161" s="1"/>
      <c r="J161" s="3">
        <f t="shared" si="20"/>
        <v>3050.7599999997765</v>
      </c>
      <c r="K161" s="4">
        <f t="shared" si="18"/>
        <v>1022004.5999999251</v>
      </c>
    </row>
    <row r="162" spans="1:11" ht="18.75" x14ac:dyDescent="0.3">
      <c r="A162" s="2">
        <v>44974</v>
      </c>
      <c r="B162" s="3">
        <f>634239.8-633999.57</f>
        <v>240.23000000009779</v>
      </c>
      <c r="C162" s="3">
        <f>822704.47-821898.88</f>
        <v>805.5899999999674</v>
      </c>
      <c r="D162" s="1">
        <f>163127.37-162410.02</f>
        <v>717.35000000000582</v>
      </c>
      <c r="E162" s="3">
        <f t="shared" si="21"/>
        <v>0</v>
      </c>
      <c r="F162" s="1">
        <f>854276.18-853635.85</f>
        <v>640.33000000007451</v>
      </c>
      <c r="G162" s="1">
        <f>542427.45-542231.48</f>
        <v>195.96999999997206</v>
      </c>
      <c r="H162" s="1">
        <f t="shared" si="13"/>
        <v>0</v>
      </c>
      <c r="I162" s="1"/>
      <c r="J162" s="3">
        <f t="shared" si="20"/>
        <v>2599.4700000001176</v>
      </c>
      <c r="K162" s="4">
        <f t="shared" si="18"/>
        <v>870822.45000003942</v>
      </c>
    </row>
    <row r="163" spans="1:11" ht="18.75" x14ac:dyDescent="0.3">
      <c r="A163" s="2">
        <v>44975</v>
      </c>
      <c r="B163" s="3">
        <f>634829.88-634239.8</f>
        <v>590.07999999995809</v>
      </c>
      <c r="C163" s="3">
        <f>822704.47-822704.47</f>
        <v>0</v>
      </c>
      <c r="D163" s="1">
        <f>163285.14-163127.37</f>
        <v>157.77000000001863</v>
      </c>
      <c r="E163" s="3">
        <f t="shared" si="21"/>
        <v>0</v>
      </c>
      <c r="F163" s="1">
        <f>854869.08-854276.18</f>
        <v>592.89999999990687</v>
      </c>
      <c r="G163" s="1">
        <f t="shared" ref="G163:G173" si="22">542427.45-542427.45</f>
        <v>0</v>
      </c>
      <c r="H163" s="1">
        <f t="shared" si="13"/>
        <v>0</v>
      </c>
      <c r="I163" s="1"/>
      <c r="J163" s="3">
        <f t="shared" si="20"/>
        <v>1340.7499999998836</v>
      </c>
      <c r="K163" s="4">
        <f t="shared" si="18"/>
        <v>449151.249999961</v>
      </c>
    </row>
    <row r="164" spans="1:11" ht="18.75" x14ac:dyDescent="0.3">
      <c r="A164" s="2">
        <v>44976</v>
      </c>
      <c r="B164" s="3">
        <f>634829.88-634829.88</f>
        <v>0</v>
      </c>
      <c r="C164" s="3">
        <f>824074.28-822704.47</f>
        <v>1369.8100000000559</v>
      </c>
      <c r="D164" s="1">
        <f>163936.95-163285.14</f>
        <v>651.80999999999767</v>
      </c>
      <c r="E164" s="3">
        <f t="shared" si="21"/>
        <v>0</v>
      </c>
      <c r="F164" s="1">
        <f>855735.34-854869.08</f>
        <v>866.26000000000931</v>
      </c>
      <c r="G164" s="1">
        <f t="shared" si="22"/>
        <v>0</v>
      </c>
      <c r="H164" s="1">
        <f t="shared" si="13"/>
        <v>0</v>
      </c>
      <c r="I164" s="1"/>
      <c r="J164" s="3">
        <f t="shared" ref="J164:J173" si="23">SUM(B164:I164)</f>
        <v>2887.8800000000629</v>
      </c>
      <c r="K164" s="4">
        <f t="shared" si="18"/>
        <v>967439.800000021</v>
      </c>
    </row>
    <row r="165" spans="1:11" ht="18.75" x14ac:dyDescent="0.3">
      <c r="A165" s="2">
        <v>44977</v>
      </c>
      <c r="B165" s="3">
        <f>635755.1-634829.88</f>
        <v>925.21999999997206</v>
      </c>
      <c r="C165" s="3">
        <f>824452.27-824074.28</f>
        <v>377.98999999999069</v>
      </c>
      <c r="D165" s="1">
        <f>164609.23-163936.95</f>
        <v>672.27999999999884</v>
      </c>
      <c r="E165" s="3">
        <f t="shared" si="21"/>
        <v>0</v>
      </c>
      <c r="F165" s="1">
        <f>856539.11-855735.34</f>
        <v>803.77000000001863</v>
      </c>
      <c r="G165" s="1">
        <f t="shared" si="22"/>
        <v>0</v>
      </c>
      <c r="H165" s="1">
        <f t="shared" si="13"/>
        <v>0</v>
      </c>
      <c r="I165" s="1"/>
      <c r="J165" s="3">
        <f t="shared" si="23"/>
        <v>2779.2599999999802</v>
      </c>
      <c r="K165" s="4">
        <f t="shared" si="18"/>
        <v>931052.09999999334</v>
      </c>
    </row>
    <row r="166" spans="1:11" ht="18.75" x14ac:dyDescent="0.3">
      <c r="A166" s="2">
        <v>44978</v>
      </c>
      <c r="B166" s="3">
        <f>636854.57-635755.1</f>
        <v>1099.4699999999721</v>
      </c>
      <c r="C166" s="3">
        <f>824849.66-824452.27</f>
        <v>397.39000000001397</v>
      </c>
      <c r="D166" s="1">
        <f>165097.15-164609.23</f>
        <v>487.9199999999837</v>
      </c>
      <c r="E166" s="3">
        <f t="shared" si="21"/>
        <v>0</v>
      </c>
      <c r="F166" s="1">
        <f>857902.12-856539.11</f>
        <v>1363.0100000000093</v>
      </c>
      <c r="G166" s="1">
        <f t="shared" si="22"/>
        <v>0</v>
      </c>
      <c r="H166" s="1">
        <f t="shared" si="13"/>
        <v>0</v>
      </c>
      <c r="I166" s="1"/>
      <c r="J166" s="3">
        <f t="shared" si="23"/>
        <v>3347.789999999979</v>
      </c>
      <c r="K166" s="4">
        <f t="shared" si="18"/>
        <v>1121509.6499999929</v>
      </c>
    </row>
    <row r="167" spans="1:11" ht="18.75" x14ac:dyDescent="0.3">
      <c r="A167" s="2">
        <v>44979</v>
      </c>
      <c r="B167" s="3">
        <f>637733.9-636854.57</f>
        <v>879.33000000007451</v>
      </c>
      <c r="C167" s="3">
        <f>825487.62-824849.66</f>
        <v>637.95999999996275</v>
      </c>
      <c r="D167" s="1">
        <f>165097.15-165097.15</f>
        <v>0</v>
      </c>
      <c r="E167" s="3">
        <f t="shared" si="21"/>
        <v>0</v>
      </c>
      <c r="F167" s="1">
        <f>858526.66-857902.12</f>
        <v>624.54000000003725</v>
      </c>
      <c r="G167" s="1">
        <f t="shared" si="22"/>
        <v>0</v>
      </c>
      <c r="H167" s="1">
        <f t="shared" si="13"/>
        <v>0</v>
      </c>
      <c r="I167" s="1"/>
      <c r="J167" s="3">
        <f t="shared" si="23"/>
        <v>2141.8300000000745</v>
      </c>
      <c r="K167" s="4">
        <f t="shared" si="18"/>
        <v>717513.05000002496</v>
      </c>
    </row>
    <row r="168" spans="1:11" ht="18.75" x14ac:dyDescent="0.3">
      <c r="A168" s="2">
        <v>44980</v>
      </c>
      <c r="B168" s="3">
        <f>638531.22-637733.9</f>
        <v>797.31999999994878</v>
      </c>
      <c r="C168" s="3">
        <f>826704.63-825487.62</f>
        <v>1217.0100000000093</v>
      </c>
      <c r="D168" s="1">
        <f>165097.15-165097.15</f>
        <v>0</v>
      </c>
      <c r="E168" s="3">
        <f t="shared" si="21"/>
        <v>0</v>
      </c>
      <c r="F168" s="1">
        <f>860009.94-858526.66</f>
        <v>1483.2799999999115</v>
      </c>
      <c r="G168" s="1">
        <f t="shared" si="22"/>
        <v>0</v>
      </c>
      <c r="H168" s="1">
        <f t="shared" si="13"/>
        <v>0</v>
      </c>
      <c r="I168" s="1"/>
      <c r="J168" s="3">
        <f t="shared" si="23"/>
        <v>3497.6099999998696</v>
      </c>
      <c r="K168" s="4">
        <f t="shared" si="18"/>
        <v>1171699.3499999563</v>
      </c>
    </row>
    <row r="169" spans="1:11" ht="18.75" x14ac:dyDescent="0.3">
      <c r="A169" s="2">
        <v>44981</v>
      </c>
      <c r="B169" s="3">
        <f>639086.83-638531.22</f>
        <v>555.60999999998603</v>
      </c>
      <c r="C169" s="3">
        <f>828667.27-826704.63</f>
        <v>1962.640000000014</v>
      </c>
      <c r="D169" s="1">
        <f>165867.67-165097.15</f>
        <v>770.52000000001863</v>
      </c>
      <c r="E169" s="3">
        <f>328591.7-328591.7</f>
        <v>0</v>
      </c>
      <c r="F169" s="1">
        <f>862225.82-860009.94</f>
        <v>2215.8800000000047</v>
      </c>
      <c r="G169" s="1">
        <f t="shared" si="22"/>
        <v>0</v>
      </c>
      <c r="H169" s="1">
        <f t="shared" si="13"/>
        <v>0</v>
      </c>
      <c r="I169" s="1"/>
      <c r="J169" s="3">
        <f t="shared" si="23"/>
        <v>5504.6500000000233</v>
      </c>
      <c r="K169" s="4">
        <f t="shared" si="18"/>
        <v>1844057.7500000079</v>
      </c>
    </row>
    <row r="170" spans="1:11" ht="18.75" x14ac:dyDescent="0.3">
      <c r="A170" s="2">
        <v>44982</v>
      </c>
      <c r="B170" s="3">
        <f>640429.67-639086.83</f>
        <v>1342.8400000000838</v>
      </c>
      <c r="C170" s="3">
        <f>828667.27-828667.27</f>
        <v>0</v>
      </c>
      <c r="D170" s="1">
        <f>166468.03-165867.67</f>
        <v>600.35999999998603</v>
      </c>
      <c r="E170" s="3">
        <f>328591.7-328591.7</f>
        <v>0</v>
      </c>
      <c r="F170" s="1">
        <f>864302.69-862225.82</f>
        <v>2076.8699999999953</v>
      </c>
      <c r="G170" s="1">
        <f t="shared" si="22"/>
        <v>0</v>
      </c>
      <c r="H170" s="1">
        <f t="shared" si="13"/>
        <v>0</v>
      </c>
      <c r="I170" s="1"/>
      <c r="J170" s="3">
        <f t="shared" si="23"/>
        <v>4020.0700000000652</v>
      </c>
      <c r="K170" s="4">
        <f t="shared" si="18"/>
        <v>1346723.4500000218</v>
      </c>
    </row>
    <row r="171" spans="1:11" ht="18.75" x14ac:dyDescent="0.3">
      <c r="A171" s="2">
        <v>44983</v>
      </c>
      <c r="B171" s="3">
        <f>643924.81-640429.67</f>
        <v>3495.140000000014</v>
      </c>
      <c r="C171" s="3">
        <f>830301.95-828667.27</f>
        <v>1634.6799999999348</v>
      </c>
      <c r="D171" s="1">
        <f>170814.95-166468.03</f>
        <v>4346.9200000000128</v>
      </c>
      <c r="E171" s="3">
        <f>328591.7-328591.7</f>
        <v>0</v>
      </c>
      <c r="F171" s="1">
        <f>865831.95-864302.69</f>
        <v>1529.2600000000093</v>
      </c>
      <c r="G171" s="1">
        <f t="shared" si="22"/>
        <v>0</v>
      </c>
      <c r="H171" s="1">
        <f t="shared" si="13"/>
        <v>0</v>
      </c>
      <c r="I171" s="1"/>
      <c r="J171" s="3">
        <f t="shared" si="23"/>
        <v>11005.999999999971</v>
      </c>
      <c r="K171" s="4">
        <f t="shared" si="18"/>
        <v>3687009.9999999902</v>
      </c>
    </row>
    <row r="172" spans="1:11" ht="18.75" x14ac:dyDescent="0.3">
      <c r="A172" s="2">
        <v>44984</v>
      </c>
      <c r="B172" s="3">
        <f>646728.34-643924.81</f>
        <v>2803.5299999999115</v>
      </c>
      <c r="C172" s="3">
        <f>832004.19-830301.95</f>
        <v>1702.2399999999907</v>
      </c>
      <c r="D172" s="1">
        <f>174306.4-170814.95</f>
        <v>3491.4499999999825</v>
      </c>
      <c r="E172" s="3">
        <f>328591.7-328591.7</f>
        <v>0</v>
      </c>
      <c r="F172" s="1">
        <f>867472.25-865831.95</f>
        <v>1640.3000000000466</v>
      </c>
      <c r="G172" s="1">
        <f t="shared" si="22"/>
        <v>0</v>
      </c>
      <c r="H172" s="1">
        <f t="shared" si="13"/>
        <v>0</v>
      </c>
      <c r="I172" s="1"/>
      <c r="J172" s="3">
        <f t="shared" si="23"/>
        <v>9637.5199999999313</v>
      </c>
      <c r="K172" s="4">
        <f t="shared" si="18"/>
        <v>3228569.1999999769</v>
      </c>
    </row>
    <row r="173" spans="1:11" ht="18.75" x14ac:dyDescent="0.3">
      <c r="A173" s="2">
        <v>44985</v>
      </c>
      <c r="B173" s="3">
        <f>649007.59-646728.34</f>
        <v>2279.25</v>
      </c>
      <c r="C173" s="3">
        <f>833644.32-832004.19</f>
        <v>1640.1300000000047</v>
      </c>
      <c r="D173" s="1">
        <f>175953.85-174306.4</f>
        <v>1647.4500000000116</v>
      </c>
      <c r="E173" s="3">
        <f>328591.7-328591.7</f>
        <v>0</v>
      </c>
      <c r="F173" s="1">
        <f>870594.59-867472.25</f>
        <v>3122.3399999999674</v>
      </c>
      <c r="G173" s="1">
        <f t="shared" si="22"/>
        <v>0</v>
      </c>
      <c r="H173" s="1">
        <f t="shared" si="13"/>
        <v>0</v>
      </c>
      <c r="I173" s="1"/>
      <c r="J173" s="3">
        <f t="shared" si="23"/>
        <v>8689.1699999999837</v>
      </c>
      <c r="K173" s="4">
        <f t="shared" si="18"/>
        <v>2910871.9499999946</v>
      </c>
    </row>
    <row r="174" spans="1:11" ht="18.75" x14ac:dyDescent="0.3">
      <c r="A174" s="2">
        <v>44986</v>
      </c>
      <c r="B174" s="3"/>
      <c r="C174" s="3"/>
      <c r="D174" s="3"/>
      <c r="E174" s="1"/>
      <c r="F174" s="1"/>
      <c r="G174" s="1"/>
      <c r="H174" s="1"/>
      <c r="I174" s="1"/>
      <c r="J174" s="6"/>
      <c r="K174" s="3"/>
    </row>
    <row r="175" spans="1:11" ht="18.75" x14ac:dyDescent="0.3">
      <c r="A175" s="2">
        <v>44987</v>
      </c>
      <c r="B175" s="3"/>
      <c r="C175" s="3"/>
      <c r="D175" s="3"/>
      <c r="E175" s="1"/>
      <c r="F175" s="1"/>
      <c r="G175" s="1"/>
      <c r="H175" s="1"/>
      <c r="I175" s="1"/>
      <c r="J175" s="6"/>
      <c r="K175" s="3"/>
    </row>
    <row r="176" spans="1:11" ht="18.75" x14ac:dyDescent="0.3">
      <c r="A176" s="2">
        <v>44988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8.75" x14ac:dyDescent="0.3">
      <c r="A177" s="5" t="s">
        <v>10</v>
      </c>
      <c r="B177" s="5" t="s">
        <v>10</v>
      </c>
      <c r="C177" s="5" t="s">
        <v>10</v>
      </c>
      <c r="D177" s="5" t="s">
        <v>10</v>
      </c>
      <c r="E177" s="5" t="s">
        <v>10</v>
      </c>
      <c r="F177" s="5" t="s">
        <v>10</v>
      </c>
      <c r="G177" s="5" t="s">
        <v>10</v>
      </c>
      <c r="H177" s="5" t="s">
        <v>10</v>
      </c>
      <c r="I177" s="5" t="s">
        <v>10</v>
      </c>
      <c r="J177" s="5" t="s">
        <v>10</v>
      </c>
      <c r="K177" s="5" t="s">
        <v>10</v>
      </c>
    </row>
    <row r="178" spans="1:11" ht="18.75" x14ac:dyDescent="0.3">
      <c r="A178" s="6" t="s">
        <v>11</v>
      </c>
      <c r="B178" s="6">
        <f t="shared" ref="B178:K178" si="24">SUM(B145:B177)</f>
        <v>23355.419999999925</v>
      </c>
      <c r="C178" s="6">
        <f t="shared" si="24"/>
        <v>19895.039999999921</v>
      </c>
      <c r="D178" s="6">
        <f t="shared" si="24"/>
        <v>24430.640000000014</v>
      </c>
      <c r="E178" s="6">
        <f t="shared" si="24"/>
        <v>2073.4000000000233</v>
      </c>
      <c r="F178" s="6">
        <f t="shared" si="24"/>
        <v>40341.760000000009</v>
      </c>
      <c r="G178" s="6">
        <f t="shared" si="24"/>
        <v>1676.4299999999348</v>
      </c>
      <c r="H178" s="6">
        <f t="shared" si="24"/>
        <v>0</v>
      </c>
      <c r="I178" s="6">
        <f t="shared" si="24"/>
        <v>0</v>
      </c>
      <c r="J178" s="6">
        <f t="shared" si="24"/>
        <v>111772.68999999983</v>
      </c>
      <c r="K178" s="6">
        <f t="shared" si="24"/>
        <v>37443851.149999939</v>
      </c>
    </row>
    <row r="179" spans="1:11" ht="18.75" x14ac:dyDescent="0.3">
      <c r="A179" s="5" t="s">
        <v>10</v>
      </c>
      <c r="B179" s="5" t="s">
        <v>12</v>
      </c>
      <c r="C179" s="5" t="s">
        <v>12</v>
      </c>
      <c r="D179" s="5" t="s">
        <v>12</v>
      </c>
      <c r="E179" s="5" t="s">
        <v>12</v>
      </c>
      <c r="F179" s="5" t="s">
        <v>12</v>
      </c>
      <c r="G179" s="5" t="s">
        <v>12</v>
      </c>
      <c r="H179" s="5" t="s">
        <v>12</v>
      </c>
      <c r="I179" s="5" t="s">
        <v>12</v>
      </c>
      <c r="J179" s="5" t="s">
        <v>12</v>
      </c>
      <c r="K179" s="5" t="s">
        <v>13</v>
      </c>
    </row>
    <row r="180" spans="1:11" ht="18.75" x14ac:dyDescent="0.3">
      <c r="A180" s="6" t="s">
        <v>14</v>
      </c>
      <c r="B180" s="6">
        <f>14800+14400+15000+12650+250</f>
        <v>57100</v>
      </c>
      <c r="C180" s="6">
        <v>0</v>
      </c>
      <c r="D180" s="6">
        <f>17650+15000-196</f>
        <v>32454</v>
      </c>
      <c r="E180" s="6"/>
      <c r="F180" s="7">
        <f>24350+15600+13850+218</f>
        <v>54018</v>
      </c>
      <c r="G180" s="6">
        <v>0</v>
      </c>
      <c r="H180" s="6">
        <v>0</v>
      </c>
      <c r="I180" s="6">
        <v>0</v>
      </c>
      <c r="J180" s="6">
        <f>SUM(B180:I180)</f>
        <v>143572</v>
      </c>
      <c r="K180" s="8">
        <f>J180*294.73</f>
        <v>42314975.560000002</v>
      </c>
    </row>
    <row r="181" spans="1:11" ht="18.75" x14ac:dyDescent="0.3">
      <c r="A181" s="6" t="s">
        <v>14</v>
      </c>
      <c r="B181" s="6">
        <f>B180-B178-C178</f>
        <v>13849.540000000154</v>
      </c>
      <c r="C181" s="6">
        <v>0</v>
      </c>
      <c r="D181" s="6">
        <f>D180-D178-E178</f>
        <v>5949.9599999999627</v>
      </c>
      <c r="E181" s="6"/>
      <c r="F181" s="7">
        <f>F180-F178-G178-H178-I178</f>
        <v>11999.810000000056</v>
      </c>
      <c r="G181" s="6">
        <v>0</v>
      </c>
      <c r="H181" s="6">
        <f>H180</f>
        <v>0</v>
      </c>
      <c r="I181" s="6">
        <v>0</v>
      </c>
      <c r="J181" s="6">
        <f>SUM(B181:I181)</f>
        <v>31799.310000000172</v>
      </c>
      <c r="K181" s="8">
        <f>J181*278</f>
        <v>8840208.1800000481</v>
      </c>
    </row>
    <row r="182" spans="1:11" ht="18.75" x14ac:dyDescent="0.3">
      <c r="A182" s="6"/>
      <c r="B182" s="6">
        <v>0</v>
      </c>
      <c r="C182" s="6">
        <v>0</v>
      </c>
      <c r="D182" s="6">
        <v>0</v>
      </c>
      <c r="E182" s="6"/>
      <c r="F182" s="6">
        <v>0</v>
      </c>
      <c r="G182" s="6">
        <v>0</v>
      </c>
      <c r="H182" s="6"/>
      <c r="I182" s="6">
        <v>0</v>
      </c>
      <c r="J182" s="6">
        <v>0</v>
      </c>
      <c r="K182" s="5" t="s">
        <v>15</v>
      </c>
    </row>
    <row r="183" spans="1:11" ht="18.75" x14ac:dyDescent="0.3">
      <c r="A183" s="6" t="s">
        <v>16</v>
      </c>
      <c r="B183" s="6">
        <f>B181+B178+C178+D178+E178-B180</f>
        <v>26504.040000000037</v>
      </c>
      <c r="C183" s="6">
        <v>0</v>
      </c>
      <c r="D183" s="6">
        <v>0</v>
      </c>
      <c r="E183" s="9">
        <f>D183/10</f>
        <v>0</v>
      </c>
      <c r="F183" s="6">
        <f>F181+F178+G178+H178+I178-F180</f>
        <v>0</v>
      </c>
      <c r="G183" s="6">
        <v>0</v>
      </c>
      <c r="H183" s="6">
        <v>0</v>
      </c>
      <c r="I183" s="6">
        <v>0</v>
      </c>
      <c r="J183" s="6">
        <f>SUM(B183:I183)</f>
        <v>26504.040000000037</v>
      </c>
      <c r="K183" s="6"/>
    </row>
    <row r="184" spans="1:11" ht="18.75" x14ac:dyDescent="0.3">
      <c r="A184" s="6">
        <v>0</v>
      </c>
      <c r="B184" s="6">
        <v>0</v>
      </c>
      <c r="C184" s="6">
        <v>0</v>
      </c>
      <c r="D184" s="6">
        <v>0</v>
      </c>
      <c r="E184" s="6"/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</row>
    <row r="185" spans="1:11" ht="18.75" x14ac:dyDescent="0.3">
      <c r="A185" s="6">
        <v>0</v>
      </c>
      <c r="B185" s="6">
        <f>B180-B181</f>
        <v>43250.459999999846</v>
      </c>
      <c r="C185" s="6">
        <v>0</v>
      </c>
      <c r="D185" s="6">
        <v>0</v>
      </c>
      <c r="E185" s="6"/>
      <c r="F185" s="6">
        <f>F180-F181</f>
        <v>42018.189999999944</v>
      </c>
      <c r="G185" s="6">
        <v>0</v>
      </c>
      <c r="H185" s="6">
        <v>0</v>
      </c>
      <c r="I185" s="6">
        <f>I180-I181</f>
        <v>0</v>
      </c>
      <c r="J185" s="6">
        <f>J180-J181</f>
        <v>111772.68999999983</v>
      </c>
      <c r="K185" s="10">
        <v>0</v>
      </c>
    </row>
    <row r="186" spans="1:11" ht="18.75" x14ac:dyDescent="0.3">
      <c r="A186" s="6">
        <v>0</v>
      </c>
      <c r="B186" s="6">
        <f>B185/20*0.2</f>
        <v>432.5045999999985</v>
      </c>
      <c r="C186" s="6">
        <v>0</v>
      </c>
      <c r="D186" s="6">
        <v>0</v>
      </c>
      <c r="E186" s="6"/>
      <c r="F186" s="6">
        <f>F185/20*0.2</f>
        <v>420.18189999999942</v>
      </c>
      <c r="G186" s="6">
        <v>0</v>
      </c>
      <c r="H186" s="6">
        <v>0</v>
      </c>
      <c r="I186" s="6">
        <f>I185/20*0.6</f>
        <v>0</v>
      </c>
      <c r="J186" s="6">
        <f>J185/20*0.6</f>
        <v>3353.1806999999944</v>
      </c>
      <c r="K186" s="11">
        <v>0</v>
      </c>
    </row>
    <row r="187" spans="1:11" ht="18.75" x14ac:dyDescent="0.3">
      <c r="A187" s="6">
        <v>0</v>
      </c>
      <c r="B187" s="6">
        <f>B183-B186</f>
        <v>26071.535400000037</v>
      </c>
      <c r="C187" s="6">
        <v>0</v>
      </c>
      <c r="D187" s="6">
        <v>0</v>
      </c>
      <c r="E187" s="6">
        <v>0</v>
      </c>
      <c r="F187" s="6">
        <f>F183-F186</f>
        <v>-420.18189999999942</v>
      </c>
      <c r="G187" s="6">
        <v>0</v>
      </c>
      <c r="H187" s="6">
        <v>0</v>
      </c>
      <c r="I187" s="6">
        <f>I183-I186</f>
        <v>0</v>
      </c>
      <c r="J187" s="6">
        <f>J183-J186</f>
        <v>23150.859300000044</v>
      </c>
      <c r="K187" s="6" t="s">
        <v>18</v>
      </c>
    </row>
    <row r="188" spans="1:11" ht="18.75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ht="18.75" x14ac:dyDescent="0.3">
      <c r="A189" s="6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10">
        <v>0</v>
      </c>
      <c r="I189" s="6">
        <f>I184-I187</f>
        <v>0</v>
      </c>
      <c r="J189" s="6">
        <v>0</v>
      </c>
      <c r="K189" s="6"/>
    </row>
    <row r="190" spans="1:11" ht="18.75" x14ac:dyDescent="0.3">
      <c r="A190" s="6"/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f>I185-I189</f>
        <v>0</v>
      </c>
      <c r="J190" s="6">
        <v>0</v>
      </c>
      <c r="K190" s="10">
        <v>0</v>
      </c>
    </row>
    <row r="191" spans="1:11" ht="18.75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ht="18.75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ht="18.75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ht="18.75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ht="18.75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9"/>
      <c r="K195" s="6"/>
    </row>
    <row r="196" spans="1:11" ht="18.75" x14ac:dyDescent="0.3">
      <c r="A196" s="6"/>
      <c r="B196" s="12"/>
      <c r="C196" s="12"/>
      <c r="D196" s="12"/>
      <c r="E196" s="12"/>
      <c r="F196" s="12"/>
      <c r="G196" s="12"/>
      <c r="H196" s="12"/>
      <c r="I196" s="12"/>
      <c r="J196" s="9"/>
      <c r="K196" s="6"/>
    </row>
    <row r="197" spans="1:11" ht="18.75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9"/>
      <c r="K197" s="6"/>
    </row>
    <row r="198" spans="1:11" ht="18.75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9"/>
      <c r="K198" s="6"/>
    </row>
    <row r="199" spans="1:11" ht="18.75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9"/>
      <c r="K199" s="6"/>
    </row>
    <row r="200" spans="1:11" ht="18.75" x14ac:dyDescent="0.3">
      <c r="A200" s="6"/>
      <c r="B200" s="12"/>
      <c r="C200" s="12"/>
      <c r="D200" s="6"/>
      <c r="E200" s="12"/>
      <c r="F200" s="12"/>
      <c r="G200" s="12"/>
      <c r="H200" s="6"/>
      <c r="I200" s="6"/>
      <c r="J200" s="9"/>
      <c r="K200" s="6"/>
    </row>
    <row r="201" spans="1:11" ht="18.75" x14ac:dyDescent="0.3">
      <c r="A201" s="6"/>
      <c r="B201" s="12"/>
      <c r="C201" s="12"/>
      <c r="D201" s="12"/>
      <c r="E201" s="12"/>
      <c r="F201" s="12"/>
      <c r="G201" s="6"/>
      <c r="H201" s="6"/>
      <c r="I201" s="6"/>
      <c r="J201" s="9"/>
      <c r="K201" s="6"/>
    </row>
    <row r="202" spans="1:11" ht="18.75" x14ac:dyDescent="0.3">
      <c r="A202" s="12"/>
      <c r="B202" s="12"/>
      <c r="C202" s="12"/>
      <c r="D202" s="6"/>
      <c r="E202" s="6"/>
      <c r="F202" s="6"/>
      <c r="G202" s="6"/>
      <c r="H202" s="6"/>
      <c r="I202" s="6"/>
      <c r="J202" s="9"/>
      <c r="K202" s="6"/>
    </row>
    <row r="203" spans="1:11" ht="18.75" x14ac:dyDescent="0.3">
      <c r="A203" s="12"/>
      <c r="B203" s="12"/>
      <c r="C203" s="12"/>
      <c r="D203" s="6"/>
      <c r="E203" s="6"/>
      <c r="F203" s="6"/>
      <c r="G203" s="6"/>
      <c r="H203" s="6"/>
      <c r="I203" s="6"/>
      <c r="J203" s="6"/>
      <c r="K203" s="6"/>
    </row>
    <row r="204" spans="1:11" ht="18.75" x14ac:dyDescent="0.3">
      <c r="A204" s="12"/>
      <c r="B204" s="12"/>
      <c r="C204" s="6"/>
      <c r="D204" s="6"/>
      <c r="E204" s="6"/>
      <c r="F204" s="6"/>
      <c r="G204" s="6"/>
      <c r="H204" s="6"/>
      <c r="I204" s="6"/>
      <c r="J204" s="6"/>
      <c r="K204" s="6"/>
    </row>
    <row r="205" spans="1:11" ht="18.75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ht="18.75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ht="18.75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ht="18.75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ht="18.75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ht="18.75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ht="18.75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ht="18.75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ht="18.75" x14ac:dyDescent="0.3">
      <c r="A213" s="12"/>
      <c r="B213" s="12"/>
      <c r="C213" s="6"/>
      <c r="D213" s="6"/>
      <c r="E213" s="6"/>
      <c r="F213" s="6"/>
      <c r="G213" s="6"/>
      <c r="H213" s="6"/>
      <c r="I213" s="6"/>
      <c r="J213" s="6"/>
      <c r="K213" s="6"/>
    </row>
    <row r="214" spans="1:11" ht="18.75" x14ac:dyDescent="0.3">
      <c r="A214" s="12"/>
      <c r="B214" s="12"/>
      <c r="C214" s="6"/>
      <c r="D214" s="6"/>
      <c r="E214" s="6"/>
      <c r="F214" s="6"/>
      <c r="G214" s="6"/>
      <c r="H214" s="6"/>
      <c r="I214" s="6"/>
      <c r="J214" s="6"/>
      <c r="K214" s="6"/>
    </row>
    <row r="215" spans="1:11" ht="18.75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ht="18.75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ht="18.75" x14ac:dyDescent="0.3">
      <c r="A217" s="6"/>
      <c r="B217" s="6"/>
      <c r="C217" s="12"/>
      <c r="D217" s="12"/>
      <c r="E217" s="6"/>
      <c r="F217" s="6"/>
      <c r="G217" s="6"/>
      <c r="H217" s="6"/>
      <c r="I217" s="6"/>
      <c r="J217" s="6"/>
      <c r="K217" s="6"/>
    </row>
    <row r="218" spans="1:11" ht="18.75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ht="18.75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ht="18.75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ht="18.75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ht="18.75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ht="18.75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ht="18.75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ht="18.75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ht="18.75" x14ac:dyDescent="0.3">
      <c r="A226" s="6"/>
      <c r="B226" s="12"/>
      <c r="C226" s="12"/>
      <c r="D226" s="12"/>
      <c r="E226" s="12"/>
      <c r="F226" s="12"/>
      <c r="G226" s="6"/>
      <c r="H226" s="12"/>
      <c r="I226" s="6"/>
      <c r="J226" s="6"/>
      <c r="K226" s="6"/>
    </row>
    <row r="227" spans="1:11" ht="18.75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ht="18.75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ht="18.75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ht="18.75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ht="18.75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ht="18.75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ht="18.75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ht="18.75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ht="18.75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ht="18.75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ht="18.75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ht="18.75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ht="18.75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ht="18.75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ht="18.75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ht="18.75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ht="18.75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ht="18.75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ht="18.75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ht="18.75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ht="18.75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ht="18.75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ht="18.75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ht="18.75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ht="18.75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ht="18.75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ht="18.75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ht="18.75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ht="18.75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ht="18.7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8.7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8.75" x14ac:dyDescent="0.3">
      <c r="A258" s="6"/>
      <c r="B258" s="7"/>
      <c r="C258" s="1"/>
      <c r="D258" s="1"/>
      <c r="E258" s="1"/>
      <c r="F258" s="1"/>
      <c r="G258" s="1"/>
      <c r="H258" s="1"/>
      <c r="I258" s="1"/>
      <c r="J258" s="6"/>
      <c r="K258" s="1"/>
    </row>
    <row r="259" spans="1:11" ht="18.75" x14ac:dyDescent="0.3">
      <c r="A259" s="6"/>
      <c r="B259" s="7"/>
      <c r="C259" s="1"/>
      <c r="D259" s="1"/>
      <c r="E259" s="1"/>
      <c r="F259" s="1"/>
      <c r="G259" s="1"/>
      <c r="H259" s="1"/>
      <c r="I259" s="1"/>
      <c r="J259" s="6"/>
      <c r="K259" s="1"/>
    </row>
    <row r="260" spans="1:11" ht="18.75" x14ac:dyDescent="0.3">
      <c r="A260" s="6"/>
      <c r="B260" s="7"/>
      <c r="C260" s="1"/>
      <c r="D260" s="1"/>
      <c r="E260" s="1"/>
      <c r="F260" s="1"/>
      <c r="G260" s="1"/>
      <c r="H260" s="1"/>
      <c r="I260" s="1"/>
      <c r="J260" s="6"/>
      <c r="K260" s="1"/>
    </row>
    <row r="261" spans="1:11" ht="18.75" x14ac:dyDescent="0.3">
      <c r="A261" s="6"/>
      <c r="B261" s="7"/>
      <c r="C261" s="1"/>
      <c r="D261" s="1"/>
      <c r="E261" s="1"/>
      <c r="F261" s="1"/>
      <c r="G261" s="1"/>
      <c r="H261" s="1"/>
      <c r="I261" s="1"/>
      <c r="J261" s="6"/>
      <c r="K261" s="1"/>
    </row>
    <row r="262" spans="1:11" ht="18.75" x14ac:dyDescent="0.3">
      <c r="A262" s="6"/>
      <c r="B262" s="7"/>
      <c r="C262" s="1"/>
      <c r="D262" s="1"/>
      <c r="E262" s="1"/>
      <c r="F262" s="1"/>
      <c r="G262" s="1"/>
      <c r="H262" s="1"/>
      <c r="I262" s="1"/>
      <c r="J262" s="6"/>
      <c r="K262" s="1"/>
    </row>
    <row r="263" spans="1:11" ht="18.75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ht="18.75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ht="18.7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8.7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8.7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8.7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8.7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8.7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8.7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8.7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8.7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8.7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8.7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8.7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8.7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8.7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8.7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8.7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8.7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8.7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8.7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8.7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8.7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8.7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8.7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 t="s">
        <v>0</v>
      </c>
      <c r="K287" s="1" t="s">
        <v>20</v>
      </c>
    </row>
    <row r="288" spans="1:11" ht="18.75" x14ac:dyDescent="0.3">
      <c r="A288" s="1"/>
      <c r="B288" s="1" t="s">
        <v>2</v>
      </c>
      <c r="C288" s="1" t="s">
        <v>3</v>
      </c>
      <c r="D288" s="1" t="s">
        <v>4</v>
      </c>
      <c r="E288" s="1" t="s">
        <v>5</v>
      </c>
      <c r="F288" s="1" t="s">
        <v>6</v>
      </c>
      <c r="G288" s="1" t="s">
        <v>7</v>
      </c>
      <c r="H288" s="1" t="s">
        <v>8</v>
      </c>
      <c r="I288" s="1" t="s">
        <v>9</v>
      </c>
      <c r="J288" s="1" t="s">
        <v>1</v>
      </c>
      <c r="K288" s="1" t="s">
        <v>1</v>
      </c>
    </row>
    <row r="289" spans="1:11" ht="18.75" x14ac:dyDescent="0.3">
      <c r="A289" s="2">
        <v>44986</v>
      </c>
      <c r="B289" s="3">
        <f>650690.91-649007.59</f>
        <v>1683.3200000000652</v>
      </c>
      <c r="C289" s="3">
        <f>835199.57-833644.32</f>
        <v>1555.25</v>
      </c>
      <c r="D289" s="1">
        <f>177291.93-175953.85</f>
        <v>1338.0799999999872</v>
      </c>
      <c r="E289" s="3">
        <f t="shared" ref="E289:E294" si="25">328591.7-328591.7</f>
        <v>0</v>
      </c>
      <c r="F289" s="1">
        <f>872940.69-870594.59</f>
        <v>2346.0999999999767</v>
      </c>
      <c r="G289" s="1">
        <f t="shared" ref="G289:G291" si="26">542427.45-542427.45</f>
        <v>0</v>
      </c>
      <c r="H289" s="1">
        <f t="shared" ref="H289:H319" si="27">1081662-1081662</f>
        <v>0</v>
      </c>
      <c r="I289" s="1"/>
      <c r="J289" s="3">
        <f t="shared" ref="J289" si="28">SUM(B289:I289)</f>
        <v>6922.7500000000291</v>
      </c>
      <c r="K289" s="4">
        <f>J289*297</f>
        <v>2056056.7500000086</v>
      </c>
    </row>
    <row r="290" spans="1:11" ht="18.75" x14ac:dyDescent="0.3">
      <c r="A290" s="2">
        <v>44987</v>
      </c>
      <c r="B290" s="3">
        <f>651862.33-650690.91</f>
        <v>1171.4199999999255</v>
      </c>
      <c r="C290" s="3">
        <f>836223.38-835199.57</f>
        <v>1023.8100000000559</v>
      </c>
      <c r="D290" s="1">
        <f>179428.61-177291.93</f>
        <v>2136.679999999993</v>
      </c>
      <c r="E290" s="3">
        <f t="shared" si="25"/>
        <v>0</v>
      </c>
      <c r="F290" s="1">
        <f>874507.33-872940.69</f>
        <v>1566.640000000014</v>
      </c>
      <c r="G290" s="1">
        <f t="shared" si="26"/>
        <v>0</v>
      </c>
      <c r="H290" s="1">
        <f t="shared" si="27"/>
        <v>0</v>
      </c>
      <c r="I290" s="1"/>
      <c r="J290" s="3">
        <f t="shared" ref="J290:J291" si="29">SUM(B290:I290)</f>
        <v>5898.5499999999884</v>
      </c>
      <c r="K290" s="4">
        <f t="shared" ref="K290:K319" si="30">J290*297</f>
        <v>1751869.3499999966</v>
      </c>
    </row>
    <row r="291" spans="1:11" ht="18.75" x14ac:dyDescent="0.3">
      <c r="A291" s="2">
        <v>44988</v>
      </c>
      <c r="B291" s="3">
        <f>654612.46-651862.33</f>
        <v>2750.1300000000047</v>
      </c>
      <c r="C291" s="3">
        <f>836448.59-836223.38</f>
        <v>225.20999999996275</v>
      </c>
      <c r="D291" s="1">
        <f>181764.63-179428.61</f>
        <v>2336.0200000000186</v>
      </c>
      <c r="E291" s="3">
        <f t="shared" si="25"/>
        <v>0</v>
      </c>
      <c r="F291" s="1">
        <f>877795.53-874507.33</f>
        <v>3288.2000000000698</v>
      </c>
      <c r="G291" s="1">
        <f t="shared" si="26"/>
        <v>0</v>
      </c>
      <c r="H291" s="1">
        <f t="shared" si="27"/>
        <v>0</v>
      </c>
      <c r="I291" s="1"/>
      <c r="J291" s="3">
        <f t="shared" si="29"/>
        <v>8599.5600000000559</v>
      </c>
      <c r="K291" s="4">
        <f t="shared" si="30"/>
        <v>2554069.3200000166</v>
      </c>
    </row>
    <row r="292" spans="1:11" ht="18.75" x14ac:dyDescent="0.3">
      <c r="A292" s="2">
        <v>44989</v>
      </c>
      <c r="B292" s="3">
        <f>659022.7-654612.46</f>
        <v>4410.2399999999907</v>
      </c>
      <c r="C292" s="3">
        <f>837904.94-836448.59</f>
        <v>1456.3499999999767</v>
      </c>
      <c r="D292" s="1">
        <f>184376.4-181764.63</f>
        <v>2611.7699999999895</v>
      </c>
      <c r="E292" s="3">
        <f t="shared" si="25"/>
        <v>0</v>
      </c>
      <c r="F292" s="1">
        <f>880520.38-877795.53</f>
        <v>2724.8499999999767</v>
      </c>
      <c r="G292" s="1">
        <f>542600.49-542427.45</f>
        <v>173.04000000003725</v>
      </c>
      <c r="H292" s="1">
        <f t="shared" si="27"/>
        <v>0</v>
      </c>
      <c r="I292" s="1"/>
      <c r="J292" s="3">
        <f t="shared" ref="J292:J319" si="31">SUM(B292:I292)</f>
        <v>11376.249999999971</v>
      </c>
      <c r="K292" s="4">
        <f t="shared" si="30"/>
        <v>3378746.2499999912</v>
      </c>
    </row>
    <row r="293" spans="1:11" ht="18.75" x14ac:dyDescent="0.3">
      <c r="A293" s="2">
        <v>44990</v>
      </c>
      <c r="B293" s="3">
        <f>662766.18-659022.7</f>
        <v>3743.4800000000978</v>
      </c>
      <c r="C293" s="3">
        <f>841572.2-837904.94</f>
        <v>3667.2600000000093</v>
      </c>
      <c r="D293" s="1">
        <f>185934.53-184376.4</f>
        <v>1558.1300000000047</v>
      </c>
      <c r="E293" s="3">
        <f t="shared" si="25"/>
        <v>0</v>
      </c>
      <c r="F293" s="1">
        <f>884410.19-880520.38</f>
        <v>3889.8099999999395</v>
      </c>
      <c r="G293" s="1">
        <f>543052.29-542600.49</f>
        <v>451.80000000004657</v>
      </c>
      <c r="H293" s="1">
        <f t="shared" si="27"/>
        <v>0</v>
      </c>
      <c r="I293" s="1"/>
      <c r="J293" s="3">
        <f t="shared" si="31"/>
        <v>13310.480000000098</v>
      </c>
      <c r="K293" s="4">
        <f t="shared" si="30"/>
        <v>3953212.5600000289</v>
      </c>
    </row>
    <row r="294" spans="1:11" ht="18.75" x14ac:dyDescent="0.3">
      <c r="A294" s="2">
        <v>44991</v>
      </c>
      <c r="B294" s="3">
        <f>667526.14-662766.18</f>
        <v>4759.9599999999627</v>
      </c>
      <c r="C294" s="3">
        <f>843751.47-841572.2</f>
        <v>2179.2700000000186</v>
      </c>
      <c r="D294" s="1">
        <f>188931.7-185934.53</f>
        <v>2997.1700000000128</v>
      </c>
      <c r="E294" s="3">
        <f t="shared" si="25"/>
        <v>0</v>
      </c>
      <c r="F294" s="1">
        <f>889702.28-884410.19</f>
        <v>5292.0900000000838</v>
      </c>
      <c r="G294" s="1">
        <f>543449.25-543052.29</f>
        <v>396.95999999996275</v>
      </c>
      <c r="H294" s="1">
        <f t="shared" si="27"/>
        <v>0</v>
      </c>
      <c r="I294" s="1"/>
      <c r="J294" s="3">
        <f t="shared" si="31"/>
        <v>15625.450000000041</v>
      </c>
      <c r="K294" s="4">
        <f t="shared" si="30"/>
        <v>4640758.6500000125</v>
      </c>
    </row>
    <row r="295" spans="1:11" ht="18.75" x14ac:dyDescent="0.3">
      <c r="A295" s="2">
        <v>44992</v>
      </c>
      <c r="B295" s="3">
        <f>671450.61-667526.14</f>
        <v>3924.4699999999721</v>
      </c>
      <c r="C295" s="3">
        <f>846752.74-843751.47</f>
        <v>3001.2700000000186</v>
      </c>
      <c r="D295" s="1">
        <f>190661.82-188931.7</f>
        <v>1730.1199999999953</v>
      </c>
      <c r="E295" s="3">
        <f>328843.97-328591.7</f>
        <v>252.26999999996042</v>
      </c>
      <c r="F295" s="1">
        <f>894988.39-889702.28</f>
        <v>5286.109999999986</v>
      </c>
      <c r="G295" s="1">
        <f>543449.25-543449.25</f>
        <v>0</v>
      </c>
      <c r="H295" s="1">
        <f t="shared" si="27"/>
        <v>0</v>
      </c>
      <c r="I295" s="1"/>
      <c r="J295" s="3">
        <f t="shared" si="31"/>
        <v>14194.239999999932</v>
      </c>
      <c r="K295" s="4">
        <f t="shared" si="30"/>
        <v>4215689.2799999798</v>
      </c>
    </row>
    <row r="296" spans="1:11" ht="18.75" x14ac:dyDescent="0.3">
      <c r="A296" s="2">
        <v>44993</v>
      </c>
      <c r="B296" s="3">
        <f>675923.89-671450.61</f>
        <v>4473.2800000000279</v>
      </c>
      <c r="C296" s="3">
        <f>851767.94-846752.74</f>
        <v>5015.1999999999534</v>
      </c>
      <c r="D296" s="1">
        <f>194520.62-190661.82</f>
        <v>3858.7999999999884</v>
      </c>
      <c r="E296" s="3">
        <f>328843.97-328843.97</f>
        <v>0</v>
      </c>
      <c r="F296" s="1">
        <f>898496.26-894988.39</f>
        <v>3507.8699999999953</v>
      </c>
      <c r="G296" s="1">
        <f>543449.25-543449.25</f>
        <v>0</v>
      </c>
      <c r="H296" s="1">
        <f t="shared" si="27"/>
        <v>0</v>
      </c>
      <c r="I296" s="1"/>
      <c r="J296" s="3">
        <f t="shared" si="31"/>
        <v>16855.149999999965</v>
      </c>
      <c r="K296" s="4">
        <f t="shared" si="30"/>
        <v>5005979.5499999896</v>
      </c>
    </row>
    <row r="297" spans="1:11" ht="18.75" x14ac:dyDescent="0.3">
      <c r="A297" s="2">
        <v>44994</v>
      </c>
      <c r="B297" s="3">
        <f>678047.99-675923.89</f>
        <v>2124.0999999999767</v>
      </c>
      <c r="C297" s="3">
        <f>852678.95-851767.94</f>
        <v>911.01000000000931</v>
      </c>
      <c r="D297" s="1">
        <f>201017.54-194520.62</f>
        <v>6496.9200000000128</v>
      </c>
      <c r="E297" s="3">
        <f>329064.64-328843.97</f>
        <v>220.67000000004191</v>
      </c>
      <c r="F297" s="1">
        <f>904529.41-898496.26</f>
        <v>6033.1500000000233</v>
      </c>
      <c r="G297" s="1">
        <f>545012.8-543449.25</f>
        <v>1563.5500000000466</v>
      </c>
      <c r="H297" s="1">
        <f t="shared" si="27"/>
        <v>0</v>
      </c>
      <c r="I297" s="1"/>
      <c r="J297" s="3">
        <f t="shared" si="31"/>
        <v>17349.400000000111</v>
      </c>
      <c r="K297" s="4">
        <f t="shared" si="30"/>
        <v>5152771.8000000324</v>
      </c>
    </row>
    <row r="298" spans="1:11" ht="18.75" x14ac:dyDescent="0.3">
      <c r="A298" s="2">
        <v>44995</v>
      </c>
      <c r="B298" s="3">
        <f>678430.57-678047.99</f>
        <v>382.57999999995809</v>
      </c>
      <c r="C298" s="3">
        <f>854769.24-852678.95</f>
        <v>2090.2900000000373</v>
      </c>
      <c r="D298" s="1">
        <f>203545.9-201017.54</f>
        <v>2528.359999999986</v>
      </c>
      <c r="E298" s="3">
        <f>329064.64-329064.64</f>
        <v>0</v>
      </c>
      <c r="F298" s="1">
        <f>910752.87-904529.41</f>
        <v>6223.4599999999627</v>
      </c>
      <c r="G298" s="1">
        <f>546833.18-545012.8</f>
        <v>1820.3800000000047</v>
      </c>
      <c r="H298" s="1">
        <f t="shared" si="27"/>
        <v>0</v>
      </c>
      <c r="I298" s="1"/>
      <c r="J298" s="3">
        <f t="shared" si="31"/>
        <v>13045.069999999949</v>
      </c>
      <c r="K298" s="4">
        <f t="shared" si="30"/>
        <v>3874385.7899999847</v>
      </c>
    </row>
    <row r="299" spans="1:11" ht="18.75" x14ac:dyDescent="0.3">
      <c r="A299" s="2">
        <v>44996</v>
      </c>
      <c r="B299" s="3">
        <f>683332.45-678430.57</f>
        <v>4901.8800000000047</v>
      </c>
      <c r="C299" s="3">
        <f>854902.48-854769.24</f>
        <v>133.23999999999069</v>
      </c>
      <c r="D299" s="1">
        <f>208364.69-203545.9</f>
        <v>4818.7900000000081</v>
      </c>
      <c r="E299" s="3">
        <f>329064.64-329064.64</f>
        <v>0</v>
      </c>
      <c r="F299" s="1">
        <f>913593.44-910752.87</f>
        <v>2840.5699999999488</v>
      </c>
      <c r="G299" s="1">
        <f>546833.18-546833.18</f>
        <v>0</v>
      </c>
      <c r="H299" s="1">
        <f t="shared" si="27"/>
        <v>0</v>
      </c>
      <c r="I299" s="1"/>
      <c r="J299" s="3">
        <f t="shared" si="31"/>
        <v>12694.479999999952</v>
      </c>
      <c r="K299" s="4">
        <f t="shared" si="30"/>
        <v>3770260.5599999856</v>
      </c>
    </row>
    <row r="300" spans="1:11" ht="18.75" x14ac:dyDescent="0.3">
      <c r="A300" s="2">
        <v>44997</v>
      </c>
      <c r="B300" s="3">
        <f>685416.32-683332.45</f>
        <v>2083.8699999999953</v>
      </c>
      <c r="C300" s="3">
        <f>854934.14-854902.48</f>
        <v>31.660000000032596</v>
      </c>
      <c r="D300" s="1">
        <f>210092-208364.69</f>
        <v>1727.3099999999977</v>
      </c>
      <c r="E300" s="3">
        <f>330441.61-329064.64</f>
        <v>1376.9699999999721</v>
      </c>
      <c r="F300" s="1">
        <f>916626.55-913593.44</f>
        <v>3033.1100000001024</v>
      </c>
      <c r="G300" s="1">
        <f>546833.18-546833.18</f>
        <v>0</v>
      </c>
      <c r="H300" s="1">
        <f t="shared" si="27"/>
        <v>0</v>
      </c>
      <c r="I300" s="1"/>
      <c r="J300" s="3">
        <f t="shared" si="31"/>
        <v>8252.9200000001001</v>
      </c>
      <c r="K300" s="4">
        <f t="shared" si="30"/>
        <v>2451117.2400000296</v>
      </c>
    </row>
    <row r="301" spans="1:11" ht="18.75" x14ac:dyDescent="0.3">
      <c r="A301" s="2">
        <v>44998</v>
      </c>
      <c r="B301" s="3">
        <f>686318.59-685416.32</f>
        <v>902.27000000001863</v>
      </c>
      <c r="C301" s="3">
        <f>856597.22-854934.14</f>
        <v>1663.0799999999581</v>
      </c>
      <c r="D301" s="1">
        <f>212383.73-210092</f>
        <v>2291.7300000000105</v>
      </c>
      <c r="E301" s="3">
        <f>330441.61-330441.61</f>
        <v>0</v>
      </c>
      <c r="F301" s="1">
        <f>917585.35-916626.55</f>
        <v>958.79999999993015</v>
      </c>
      <c r="G301" s="1">
        <f>546833.18-546833.18</f>
        <v>0</v>
      </c>
      <c r="H301" s="1">
        <f t="shared" si="27"/>
        <v>0</v>
      </c>
      <c r="I301" s="1"/>
      <c r="J301" s="3">
        <f t="shared" si="31"/>
        <v>5815.8799999999173</v>
      </c>
      <c r="K301" s="4">
        <f t="shared" si="30"/>
        <v>1727316.3599999754</v>
      </c>
    </row>
    <row r="302" spans="1:11" ht="18.75" x14ac:dyDescent="0.3">
      <c r="A302" s="2">
        <v>44999</v>
      </c>
      <c r="B302" s="3">
        <f>687568.59-686318.59</f>
        <v>1250</v>
      </c>
      <c r="C302" s="3">
        <f>857728.52-856597.22</f>
        <v>1131.3000000000466</v>
      </c>
      <c r="D302" s="1">
        <f>213393.14-212383.73</f>
        <v>1009.4100000000035</v>
      </c>
      <c r="E302" s="3">
        <f>330453.85-330441.61</f>
        <v>12.239999999990687</v>
      </c>
      <c r="F302" s="1">
        <f>918559.55-917585.35</f>
        <v>974.20000000006985</v>
      </c>
      <c r="G302" s="1">
        <f>547657.67-546833.18</f>
        <v>824.48999999999069</v>
      </c>
      <c r="H302" s="1">
        <f t="shared" si="27"/>
        <v>0</v>
      </c>
      <c r="I302" s="1"/>
      <c r="J302" s="3">
        <f t="shared" si="31"/>
        <v>5201.6400000001013</v>
      </c>
      <c r="K302" s="4">
        <f t="shared" si="30"/>
        <v>1544887.0800000301</v>
      </c>
    </row>
    <row r="303" spans="1:11" ht="18.75" x14ac:dyDescent="0.3">
      <c r="A303" s="2">
        <v>45000</v>
      </c>
      <c r="B303" s="3">
        <f>689801.1-687568.59</f>
        <v>2232.5100000000093</v>
      </c>
      <c r="C303" s="3">
        <f>858575.63-857728.52</f>
        <v>847.10999999998603</v>
      </c>
      <c r="D303" s="1">
        <f>213393.14-213393.14</f>
        <v>0</v>
      </c>
      <c r="E303" s="3">
        <f>330453.85-330453.85</f>
        <v>0</v>
      </c>
      <c r="F303" s="1">
        <f>920898.21-918559.55</f>
        <v>2338.6599999999162</v>
      </c>
      <c r="G303" s="1">
        <f>548178.18-547657.67</f>
        <v>520.51000000000931</v>
      </c>
      <c r="H303" s="1">
        <f t="shared" si="27"/>
        <v>0</v>
      </c>
      <c r="I303" s="1"/>
      <c r="J303" s="3">
        <f t="shared" si="31"/>
        <v>5938.7899999999208</v>
      </c>
      <c r="K303" s="4">
        <f t="shared" si="30"/>
        <v>1763820.6299999766</v>
      </c>
    </row>
    <row r="304" spans="1:11" ht="18.75" x14ac:dyDescent="0.3">
      <c r="A304" s="2">
        <v>45001</v>
      </c>
      <c r="B304" s="3">
        <f>690545.84-689801.1</f>
        <v>744.73999999999069</v>
      </c>
      <c r="C304" s="3">
        <f>859947.98-858575.63</f>
        <v>1372.3499999999767</v>
      </c>
      <c r="D304" s="1">
        <f>213783.09-213393.14</f>
        <v>389.94999999998254</v>
      </c>
      <c r="E304" s="3">
        <f>330495.32-330453.85</f>
        <v>41.470000000030268</v>
      </c>
      <c r="F304" s="1">
        <f>921786.17-920898.21</f>
        <v>887.96000000007916</v>
      </c>
      <c r="G304" s="1">
        <f>548188.4-548178.18</f>
        <v>10.21999999997206</v>
      </c>
      <c r="H304" s="1">
        <f t="shared" si="27"/>
        <v>0</v>
      </c>
      <c r="I304" s="1"/>
      <c r="J304" s="3">
        <f t="shared" si="31"/>
        <v>3446.6900000000314</v>
      </c>
      <c r="K304" s="4">
        <f t="shared" si="30"/>
        <v>1023666.9300000094</v>
      </c>
    </row>
    <row r="305" spans="1:11" ht="18.75" x14ac:dyDescent="0.3">
      <c r="A305" s="2">
        <v>45002</v>
      </c>
      <c r="B305" s="3">
        <f>691087.18-690545.84</f>
        <v>541.34000000008382</v>
      </c>
      <c r="C305" s="3">
        <f>860513.46-859947.98</f>
        <v>565.47999999998137</v>
      </c>
      <c r="D305" s="1">
        <f>214495.06-213783.09</f>
        <v>711.97000000000116</v>
      </c>
      <c r="E305" s="3">
        <f t="shared" ref="E305:E319" si="32">330495.32-330495.32</f>
        <v>0</v>
      </c>
      <c r="F305" s="1">
        <f>922773.13-921786.17</f>
        <v>986.95999999996275</v>
      </c>
      <c r="G305" s="1">
        <f>548188.4-548188.4</f>
        <v>0</v>
      </c>
      <c r="H305" s="1">
        <f t="shared" si="27"/>
        <v>0</v>
      </c>
      <c r="I305" s="1"/>
      <c r="J305" s="3">
        <f t="shared" si="31"/>
        <v>2805.7500000000291</v>
      </c>
      <c r="K305" s="4">
        <f t="shared" si="30"/>
        <v>833307.75000000861</v>
      </c>
    </row>
    <row r="306" spans="1:11" ht="18.75" x14ac:dyDescent="0.3">
      <c r="A306" s="2">
        <v>45003</v>
      </c>
      <c r="B306" s="3">
        <f>691087.18-691087.18</f>
        <v>0</v>
      </c>
      <c r="C306" s="3">
        <f>860880.31-860513.46</f>
        <v>366.85000000009313</v>
      </c>
      <c r="D306" s="1">
        <f>214922.05-214495.06</f>
        <v>426.98999999999069</v>
      </c>
      <c r="E306" s="3">
        <f t="shared" si="32"/>
        <v>0</v>
      </c>
      <c r="F306" s="1">
        <f>923689.07-922773.13</f>
        <v>915.93999999994412</v>
      </c>
      <c r="G306" s="1">
        <f>548276.58-548188.4</f>
        <v>88.179999999934807</v>
      </c>
      <c r="H306" s="1">
        <f t="shared" si="27"/>
        <v>0</v>
      </c>
      <c r="I306" s="1"/>
      <c r="J306" s="3">
        <f t="shared" si="31"/>
        <v>1797.9599999999627</v>
      </c>
      <c r="K306" s="4">
        <f t="shared" si="30"/>
        <v>533994.11999998894</v>
      </c>
    </row>
    <row r="307" spans="1:11" ht="18.75" x14ac:dyDescent="0.3">
      <c r="A307" s="2">
        <v>45004</v>
      </c>
      <c r="B307" s="3">
        <f>691695.29-691087.18</f>
        <v>608.10999999998603</v>
      </c>
      <c r="C307" s="3">
        <f>861432.2-860880.31</f>
        <v>551.88999999989755</v>
      </c>
      <c r="D307" s="1">
        <f>214922.05-214922.05</f>
        <v>0</v>
      </c>
      <c r="E307" s="3">
        <f t="shared" si="32"/>
        <v>0</v>
      </c>
      <c r="F307" s="1">
        <f>924610.94-923689.07</f>
        <v>921.86999999999534</v>
      </c>
      <c r="G307" s="1">
        <f>548276.58-548276.58</f>
        <v>0</v>
      </c>
      <c r="H307" s="1">
        <f t="shared" si="27"/>
        <v>0</v>
      </c>
      <c r="I307" s="1"/>
      <c r="J307" s="3">
        <f t="shared" si="31"/>
        <v>2081.8699999998789</v>
      </c>
      <c r="K307" s="4">
        <f t="shared" si="30"/>
        <v>618315.38999996404</v>
      </c>
    </row>
    <row r="308" spans="1:11" ht="18.75" x14ac:dyDescent="0.3">
      <c r="A308" s="2">
        <v>45005</v>
      </c>
      <c r="B308" s="3">
        <f>693304.71-691695.29</f>
        <v>1609.4199999999255</v>
      </c>
      <c r="C308" s="3">
        <f>861432.2-861432.2</f>
        <v>0</v>
      </c>
      <c r="D308" s="1">
        <f>216632.11-214922.05</f>
        <v>1710.0599999999977</v>
      </c>
      <c r="E308" s="3">
        <f t="shared" si="32"/>
        <v>0</v>
      </c>
      <c r="F308" s="1">
        <f>924715.46-924610.94</f>
        <v>104.52000000001863</v>
      </c>
      <c r="G308" s="1">
        <f>548276.58-548276.58</f>
        <v>0</v>
      </c>
      <c r="H308" s="1">
        <f t="shared" si="27"/>
        <v>0</v>
      </c>
      <c r="I308" s="1"/>
      <c r="J308" s="3">
        <f t="shared" si="31"/>
        <v>3423.9999999999418</v>
      </c>
      <c r="K308" s="4">
        <f t="shared" si="30"/>
        <v>1016927.9999999828</v>
      </c>
    </row>
    <row r="309" spans="1:11" ht="18.75" x14ac:dyDescent="0.3">
      <c r="A309" s="2">
        <v>45006</v>
      </c>
      <c r="B309" s="3">
        <f>694025.25-693304.71</f>
        <v>720.54000000003725</v>
      </c>
      <c r="C309" s="3">
        <f>863055.36-861432.2</f>
        <v>1623.1600000000326</v>
      </c>
      <c r="D309" s="1">
        <f>217209.43-216632.11</f>
        <v>577.32000000000698</v>
      </c>
      <c r="E309" s="3">
        <f t="shared" si="32"/>
        <v>0</v>
      </c>
      <c r="F309" s="1">
        <f>925548.39-924715.46</f>
        <v>832.93000000005122</v>
      </c>
      <c r="G309" s="1">
        <f>548276.58-548276.58</f>
        <v>0</v>
      </c>
      <c r="H309" s="1">
        <f t="shared" si="27"/>
        <v>0</v>
      </c>
      <c r="I309" s="1"/>
      <c r="J309" s="3">
        <f t="shared" si="31"/>
        <v>3753.9500000001281</v>
      </c>
      <c r="K309" s="4">
        <f t="shared" si="30"/>
        <v>1114923.1500000381</v>
      </c>
    </row>
    <row r="310" spans="1:11" ht="18.75" x14ac:dyDescent="0.3">
      <c r="A310" s="2">
        <v>45007</v>
      </c>
      <c r="B310" s="3">
        <f>694204.58-694025.25</f>
        <v>179.32999999995809</v>
      </c>
      <c r="C310" s="3">
        <f>865147.74-863055.36</f>
        <v>2092.3800000000047</v>
      </c>
      <c r="D310" s="1">
        <f>218094.96-217209.43</f>
        <v>885.52999999999884</v>
      </c>
      <c r="E310" s="3">
        <f t="shared" si="32"/>
        <v>0</v>
      </c>
      <c r="F310" s="1">
        <f>926206.39-925548.39</f>
        <v>658</v>
      </c>
      <c r="G310" s="1">
        <f>548276.58-548276.58</f>
        <v>0</v>
      </c>
      <c r="H310" s="1">
        <f t="shared" si="27"/>
        <v>0</v>
      </c>
      <c r="I310" s="1"/>
      <c r="J310" s="3">
        <f t="shared" si="31"/>
        <v>3815.2399999999616</v>
      </c>
      <c r="K310" s="4">
        <f t="shared" si="30"/>
        <v>1133126.2799999886</v>
      </c>
    </row>
    <row r="311" spans="1:11" ht="18.75" x14ac:dyDescent="0.3">
      <c r="A311" s="2">
        <v>45008</v>
      </c>
      <c r="B311" s="3">
        <f>694849.53-694204.58</f>
        <v>644.95000000006985</v>
      </c>
      <c r="C311" s="3">
        <f>865750.06-865147.74</f>
        <v>602.32000000006519</v>
      </c>
      <c r="D311" s="1">
        <f>218098.63-218094.96</f>
        <v>3.6700000000128057</v>
      </c>
      <c r="E311" s="3">
        <f t="shared" si="32"/>
        <v>0</v>
      </c>
      <c r="F311" s="1">
        <f>926931.16-926206.39</f>
        <v>724.77000000001863</v>
      </c>
      <c r="G311" s="1">
        <f>548532.24-548276.58</f>
        <v>255.6600000000326</v>
      </c>
      <c r="H311" s="1">
        <f t="shared" si="27"/>
        <v>0</v>
      </c>
      <c r="I311" s="1"/>
      <c r="J311" s="3">
        <f t="shared" si="31"/>
        <v>2231.3700000001991</v>
      </c>
      <c r="K311" s="4">
        <f t="shared" si="30"/>
        <v>662716.89000005915</v>
      </c>
    </row>
    <row r="312" spans="1:11" ht="18.75" x14ac:dyDescent="0.3">
      <c r="A312" s="2">
        <v>45009</v>
      </c>
      <c r="B312" s="3">
        <f>694925.66-694849.53</f>
        <v>76.130000000004657</v>
      </c>
      <c r="C312" s="3">
        <f>866620.8-865750.06</f>
        <v>870.73999999999069</v>
      </c>
      <c r="D312" s="1">
        <f>218984.25-218098.63</f>
        <v>885.61999999999534</v>
      </c>
      <c r="E312" s="3">
        <f t="shared" si="32"/>
        <v>0</v>
      </c>
      <c r="F312" s="1">
        <f>927853.45-926931.16</f>
        <v>922.28999999992084</v>
      </c>
      <c r="G312" s="1">
        <f>548532.24-548532.24</f>
        <v>0</v>
      </c>
      <c r="H312" s="1">
        <f t="shared" si="27"/>
        <v>0</v>
      </c>
      <c r="I312" s="1"/>
      <c r="J312" s="3">
        <f t="shared" si="31"/>
        <v>2754.7799999999115</v>
      </c>
      <c r="K312" s="4">
        <f t="shared" si="30"/>
        <v>818169.65999997372</v>
      </c>
    </row>
    <row r="313" spans="1:11" ht="18.75" x14ac:dyDescent="0.3">
      <c r="A313" s="2">
        <v>45010</v>
      </c>
      <c r="B313" s="3">
        <f>695994.91-694925.66</f>
        <v>1069.25</v>
      </c>
      <c r="C313" s="3">
        <f>867127.78-866620.8</f>
        <v>506.97999999998137</v>
      </c>
      <c r="D313" s="1">
        <f>219131.03-218984.25</f>
        <v>146.77999999999884</v>
      </c>
      <c r="E313" s="3">
        <f t="shared" si="32"/>
        <v>0</v>
      </c>
      <c r="F313" s="1">
        <f>928833.42-927853.45</f>
        <v>979.97000000008848</v>
      </c>
      <c r="G313" s="1">
        <f>548914.08-548532.24</f>
        <v>381.8399999999674</v>
      </c>
      <c r="H313" s="1">
        <f t="shared" si="27"/>
        <v>0</v>
      </c>
      <c r="I313" s="1"/>
      <c r="J313" s="3">
        <f t="shared" si="31"/>
        <v>3084.8200000000361</v>
      </c>
      <c r="K313" s="4">
        <f t="shared" si="30"/>
        <v>916191.54000001075</v>
      </c>
    </row>
    <row r="314" spans="1:11" ht="18.75" x14ac:dyDescent="0.3">
      <c r="A314" s="2">
        <v>45011</v>
      </c>
      <c r="B314" s="3">
        <f>696294.14-695994.91</f>
        <v>299.22999999998137</v>
      </c>
      <c r="C314" s="3">
        <f>867936.33-867127.78</f>
        <v>808.54999999993015</v>
      </c>
      <c r="D314" s="1">
        <f>219140.6-219131.03</f>
        <v>9.5700000000069849</v>
      </c>
      <c r="E314" s="3">
        <f t="shared" si="32"/>
        <v>0</v>
      </c>
      <c r="F314" s="1">
        <f>929445.94-928833.42</f>
        <v>612.51999999990221</v>
      </c>
      <c r="G314" s="1">
        <f>548914.08-548914.08</f>
        <v>0</v>
      </c>
      <c r="H314" s="1">
        <f t="shared" si="27"/>
        <v>0</v>
      </c>
      <c r="I314" s="1"/>
      <c r="J314" s="3">
        <f t="shared" si="31"/>
        <v>1729.8699999998207</v>
      </c>
      <c r="K314" s="4">
        <f t="shared" si="30"/>
        <v>513771.38999994675</v>
      </c>
    </row>
    <row r="315" spans="1:11" ht="18.75" x14ac:dyDescent="0.3">
      <c r="A315" s="2">
        <v>45012</v>
      </c>
      <c r="B315" s="3">
        <f>696840.75-696294.14</f>
        <v>546.60999999998603</v>
      </c>
      <c r="C315" s="3">
        <f>869722.72-867936.33</f>
        <v>1786.390000000014</v>
      </c>
      <c r="D315" s="1">
        <f>219172.77-219140.6</f>
        <v>32.169999999983702</v>
      </c>
      <c r="E315" s="3">
        <f t="shared" si="32"/>
        <v>0</v>
      </c>
      <c r="F315" s="1">
        <f>930113-929445.94</f>
        <v>667.06000000005588</v>
      </c>
      <c r="G315" s="1">
        <f>548914.08-548914.08</f>
        <v>0</v>
      </c>
      <c r="H315" s="1">
        <f t="shared" si="27"/>
        <v>0</v>
      </c>
      <c r="I315" s="1"/>
      <c r="J315" s="3">
        <f t="shared" si="31"/>
        <v>3032.2300000000396</v>
      </c>
      <c r="K315" s="4">
        <f t="shared" si="30"/>
        <v>900572.3100000117</v>
      </c>
    </row>
    <row r="316" spans="1:11" ht="18.75" x14ac:dyDescent="0.3">
      <c r="A316" s="2">
        <v>45013</v>
      </c>
      <c r="B316" s="3">
        <f>696840.75-696840.75</f>
        <v>0</v>
      </c>
      <c r="C316" s="3">
        <f>870807.97-869722.72</f>
        <v>1085.25</v>
      </c>
      <c r="D316" s="1">
        <f>219172.77-219172.77</f>
        <v>0</v>
      </c>
      <c r="E316" s="3">
        <f t="shared" si="32"/>
        <v>0</v>
      </c>
      <c r="F316" s="1">
        <f>931722.36-930113</f>
        <v>1609.359999999986</v>
      </c>
      <c r="G316" s="1">
        <f>549239.31-548914.08</f>
        <v>325.23000000009779</v>
      </c>
      <c r="H316" s="1">
        <f t="shared" si="27"/>
        <v>0</v>
      </c>
      <c r="I316" s="1"/>
      <c r="J316" s="3">
        <f t="shared" si="31"/>
        <v>3019.8400000000838</v>
      </c>
      <c r="K316" s="4">
        <f t="shared" si="30"/>
        <v>896892.48000002489</v>
      </c>
    </row>
    <row r="317" spans="1:11" ht="18.75" x14ac:dyDescent="0.3">
      <c r="A317" s="2">
        <v>45014</v>
      </c>
      <c r="B317" s="3">
        <f>696840.75-696840.75</f>
        <v>0</v>
      </c>
      <c r="C317" s="3">
        <f>872128.64-870807.97</f>
        <v>1320.6700000000419</v>
      </c>
      <c r="D317" s="1">
        <f>219172.77-219172.77</f>
        <v>0</v>
      </c>
      <c r="E317" s="3">
        <f t="shared" si="32"/>
        <v>0</v>
      </c>
      <c r="F317" s="1">
        <f>932993.23-931722.36</f>
        <v>1270.8699999999953</v>
      </c>
      <c r="G317" s="1">
        <f>549239.31-549239.31</f>
        <v>0</v>
      </c>
      <c r="H317" s="1">
        <f t="shared" si="27"/>
        <v>0</v>
      </c>
      <c r="I317" s="1"/>
      <c r="J317" s="3">
        <f t="shared" si="31"/>
        <v>2591.5400000000373</v>
      </c>
      <c r="K317" s="4">
        <f t="shared" si="30"/>
        <v>769687.38000001106</v>
      </c>
    </row>
    <row r="318" spans="1:11" ht="18.75" x14ac:dyDescent="0.3">
      <c r="A318" s="2">
        <v>45015</v>
      </c>
      <c r="B318" s="3">
        <f>696840.75-696840.75</f>
        <v>0</v>
      </c>
      <c r="C318" s="3">
        <f>873116.93-872128.64</f>
        <v>988.29000000003725</v>
      </c>
      <c r="D318" s="1">
        <f>219172.77-219172.77</f>
        <v>0</v>
      </c>
      <c r="E318" s="3">
        <f t="shared" si="32"/>
        <v>0</v>
      </c>
      <c r="F318" s="1">
        <f>934002.23-932993.23</f>
        <v>1009</v>
      </c>
      <c r="G318" s="1">
        <f>549239.31-549239.31</f>
        <v>0</v>
      </c>
      <c r="H318" s="1">
        <f t="shared" si="27"/>
        <v>0</v>
      </c>
      <c r="I318" s="1"/>
      <c r="J318" s="3">
        <f t="shared" si="31"/>
        <v>1997.2900000000373</v>
      </c>
      <c r="K318" s="4">
        <f t="shared" si="30"/>
        <v>593195.13000001106</v>
      </c>
    </row>
    <row r="319" spans="1:11" ht="18.75" x14ac:dyDescent="0.3">
      <c r="A319" s="2">
        <v>45016</v>
      </c>
      <c r="B319" s="3">
        <f>697470.3-696840.75</f>
        <v>629.55000000004657</v>
      </c>
      <c r="C319" s="3">
        <f>873857.69-873116.93</f>
        <v>740.7599999998929</v>
      </c>
      <c r="D319" s="1">
        <f>219172.77-219172.77</f>
        <v>0</v>
      </c>
      <c r="E319" s="3">
        <f t="shared" si="32"/>
        <v>0</v>
      </c>
      <c r="F319" s="1">
        <f>935049.51-934002.23</f>
        <v>1047.2800000000279</v>
      </c>
      <c r="G319" s="1">
        <f>549239.31-549239.31</f>
        <v>0</v>
      </c>
      <c r="H319" s="1">
        <f t="shared" si="27"/>
        <v>0</v>
      </c>
      <c r="I319" s="1"/>
      <c r="J319" s="3">
        <f t="shared" si="31"/>
        <v>2417.5899999999674</v>
      </c>
      <c r="K319" s="4">
        <f t="shared" si="30"/>
        <v>718024.22999999032</v>
      </c>
    </row>
    <row r="320" spans="1:11" ht="18.75" x14ac:dyDescent="0.3">
      <c r="A320" s="5" t="s">
        <v>10</v>
      </c>
      <c r="B320" s="5" t="s">
        <v>10</v>
      </c>
      <c r="C320" s="5" t="s">
        <v>10</v>
      </c>
      <c r="D320" s="5" t="s">
        <v>10</v>
      </c>
      <c r="E320" s="5" t="s">
        <v>10</v>
      </c>
      <c r="F320" s="5" t="s">
        <v>10</v>
      </c>
      <c r="G320" s="5" t="s">
        <v>10</v>
      </c>
      <c r="H320" s="5" t="s">
        <v>10</v>
      </c>
      <c r="I320" s="5" t="s">
        <v>10</v>
      </c>
      <c r="J320" s="5" t="s">
        <v>10</v>
      </c>
      <c r="K320" s="5" t="s">
        <v>10</v>
      </c>
    </row>
    <row r="321" spans="1:11" ht="18.75" x14ac:dyDescent="0.3">
      <c r="A321" s="6" t="s">
        <v>11</v>
      </c>
      <c r="B321" s="6">
        <f t="shared" ref="B321:K321" si="33">SUM(B289:B320)</f>
        <v>48462.710000000079</v>
      </c>
      <c r="C321" s="6">
        <f t="shared" si="33"/>
        <v>40213.369999999995</v>
      </c>
      <c r="D321" s="6">
        <f t="shared" si="33"/>
        <v>43218.919999999984</v>
      </c>
      <c r="E321" s="6">
        <f t="shared" si="33"/>
        <v>1903.6199999999953</v>
      </c>
      <c r="F321" s="6">
        <f t="shared" si="33"/>
        <v>64454.920000000042</v>
      </c>
      <c r="G321" s="6">
        <f t="shared" si="33"/>
        <v>6811.8600000001024</v>
      </c>
      <c r="H321" s="6">
        <f t="shared" si="33"/>
        <v>0</v>
      </c>
      <c r="I321" s="6">
        <f t="shared" si="33"/>
        <v>0</v>
      </c>
      <c r="J321" s="6">
        <f t="shared" si="33"/>
        <v>205065.4000000002</v>
      </c>
      <c r="K321" s="6">
        <f t="shared" si="33"/>
        <v>60904423.800000064</v>
      </c>
    </row>
    <row r="322" spans="1:11" ht="18.75" x14ac:dyDescent="0.3">
      <c r="A322" s="5" t="s">
        <v>10</v>
      </c>
      <c r="B322" s="5" t="s">
        <v>12</v>
      </c>
      <c r="C322" s="5" t="s">
        <v>12</v>
      </c>
      <c r="D322" s="5" t="s">
        <v>12</v>
      </c>
      <c r="E322" s="5" t="s">
        <v>12</v>
      </c>
      <c r="F322" s="5" t="s">
        <v>12</v>
      </c>
      <c r="G322" s="5" t="s">
        <v>12</v>
      </c>
      <c r="H322" s="5" t="s">
        <v>12</v>
      </c>
      <c r="I322" s="5" t="s">
        <v>12</v>
      </c>
      <c r="J322" s="5" t="s">
        <v>12</v>
      </c>
      <c r="K322" s="5" t="s">
        <v>13</v>
      </c>
    </row>
    <row r="323" spans="1:11" ht="18.75" x14ac:dyDescent="0.3">
      <c r="A323" s="6" t="s">
        <v>14</v>
      </c>
      <c r="B323" s="6">
        <f>13850+17000+13300+13600+15300+15000+29550+126</f>
        <v>117726</v>
      </c>
      <c r="C323" s="6">
        <v>0</v>
      </c>
      <c r="D323" s="6">
        <f>5950+11300+15350+15200+15000+273</f>
        <v>63073</v>
      </c>
      <c r="E323" s="6"/>
      <c r="F323" s="7">
        <f>12000+11700+13700+16050+14500+15000+15450-133</f>
        <v>98267</v>
      </c>
      <c r="G323" s="6">
        <v>0</v>
      </c>
      <c r="H323" s="6">
        <v>0</v>
      </c>
      <c r="I323" s="6">
        <v>0</v>
      </c>
      <c r="J323" s="6">
        <f>SUM(B323:I323)</f>
        <v>279066</v>
      </c>
      <c r="K323" s="8">
        <f>J323*267.22</f>
        <v>74572016.520000011</v>
      </c>
    </row>
    <row r="324" spans="1:11" ht="18.75" x14ac:dyDescent="0.3">
      <c r="A324" s="6" t="s">
        <v>14</v>
      </c>
      <c r="B324" s="6">
        <f>B323-B321-C321</f>
        <v>29049.919999999925</v>
      </c>
      <c r="C324" s="6">
        <v>0</v>
      </c>
      <c r="D324" s="6">
        <f>D323-D321-E321</f>
        <v>17950.460000000021</v>
      </c>
      <c r="E324" s="6"/>
      <c r="F324" s="7">
        <f>F323-F321-G321-H321-I321</f>
        <v>27000.219999999856</v>
      </c>
      <c r="G324" s="6">
        <v>0</v>
      </c>
      <c r="H324" s="6">
        <f>H323</f>
        <v>0</v>
      </c>
      <c r="I324" s="6">
        <v>0</v>
      </c>
      <c r="J324" s="6">
        <f>SUM(B324:I324)</f>
        <v>74000.599999999802</v>
      </c>
      <c r="K324" s="8">
        <f>J324*258.46</f>
        <v>19126195.075999949</v>
      </c>
    </row>
    <row r="325" spans="1:11" ht="18.75" x14ac:dyDescent="0.3">
      <c r="A325" s="6"/>
      <c r="B325" s="6">
        <v>0</v>
      </c>
      <c r="C325" s="6">
        <v>0</v>
      </c>
      <c r="D325" s="6">
        <v>0</v>
      </c>
      <c r="E325" s="6"/>
      <c r="F325" s="6">
        <v>0</v>
      </c>
      <c r="G325" s="6">
        <v>0</v>
      </c>
      <c r="H325" s="6"/>
      <c r="I325" s="6">
        <v>0</v>
      </c>
      <c r="J325" s="6">
        <v>0</v>
      </c>
      <c r="K325" s="5" t="s">
        <v>15</v>
      </c>
    </row>
    <row r="326" spans="1:11" ht="18.75" x14ac:dyDescent="0.3">
      <c r="A326" s="6" t="s">
        <v>16</v>
      </c>
      <c r="B326" s="6">
        <f>B324+B321+C321+D321+E321-B323</f>
        <v>45122.539999999979</v>
      </c>
      <c r="C326" s="6">
        <v>0</v>
      </c>
      <c r="D326" s="6">
        <v>0</v>
      </c>
      <c r="E326" s="9">
        <f>D326/10</f>
        <v>0</v>
      </c>
      <c r="F326" s="6">
        <f>F324+F321+G321+H321+I321-F323</f>
        <v>0</v>
      </c>
      <c r="G326" s="6">
        <v>0</v>
      </c>
      <c r="H326" s="6">
        <v>0</v>
      </c>
      <c r="I326" s="6">
        <v>0</v>
      </c>
      <c r="J326" s="6">
        <f>SUM(B326:I326)</f>
        <v>45122.539999999979</v>
      </c>
      <c r="K326" s="6"/>
    </row>
    <row r="327" spans="1:11" ht="18.75" x14ac:dyDescent="0.3">
      <c r="A327" s="6">
        <v>0</v>
      </c>
      <c r="B327" s="6">
        <v>0</v>
      </c>
      <c r="C327" s="6">
        <v>0</v>
      </c>
      <c r="D327" s="6">
        <v>0</v>
      </c>
      <c r="E327" s="6"/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</row>
    <row r="328" spans="1:11" ht="18.75" x14ac:dyDescent="0.3">
      <c r="A328" s="6">
        <v>0</v>
      </c>
      <c r="B328" s="6">
        <f>B323-B324</f>
        <v>88676.080000000075</v>
      </c>
      <c r="C328" s="6">
        <v>0</v>
      </c>
      <c r="D328" s="6">
        <v>0</v>
      </c>
      <c r="E328" s="6"/>
      <c r="F328" s="6">
        <f>F323-F324</f>
        <v>71266.780000000144</v>
      </c>
      <c r="G328" s="6">
        <v>0</v>
      </c>
      <c r="H328" s="6">
        <v>0</v>
      </c>
      <c r="I328" s="6">
        <f>I323-I324</f>
        <v>0</v>
      </c>
      <c r="J328" s="6">
        <f>J323-J324</f>
        <v>205065.4000000002</v>
      </c>
      <c r="K328" s="10">
        <v>0</v>
      </c>
    </row>
    <row r="329" spans="1:11" ht="18.75" x14ac:dyDescent="0.3">
      <c r="A329" s="6">
        <v>0</v>
      </c>
      <c r="B329" s="6">
        <f>B328/20*0.2</f>
        <v>886.76080000000081</v>
      </c>
      <c r="C329" s="6">
        <v>0</v>
      </c>
      <c r="D329" s="6">
        <v>0</v>
      </c>
      <c r="E329" s="6"/>
      <c r="F329" s="6">
        <f>F328/20*0.2</f>
        <v>712.66780000000153</v>
      </c>
      <c r="G329" s="6">
        <v>0</v>
      </c>
      <c r="H329" s="6">
        <v>0</v>
      </c>
      <c r="I329" s="6">
        <f>I328/20*0.6</f>
        <v>0</v>
      </c>
      <c r="J329" s="6">
        <f>J328/20*0.6</f>
        <v>6151.9620000000059</v>
      </c>
      <c r="K329" s="11">
        <v>0</v>
      </c>
    </row>
    <row r="330" spans="1:11" ht="18.75" x14ac:dyDescent="0.3">
      <c r="A330" s="6">
        <v>0</v>
      </c>
      <c r="B330" s="6">
        <f>B326-B329</f>
        <v>44235.779199999975</v>
      </c>
      <c r="C330" s="6">
        <v>0</v>
      </c>
      <c r="D330" s="6">
        <v>0</v>
      </c>
      <c r="E330" s="6">
        <v>0</v>
      </c>
      <c r="F330" s="6">
        <f>F326-F329</f>
        <v>-712.66780000000153</v>
      </c>
      <c r="G330" s="6">
        <v>0</v>
      </c>
      <c r="H330" s="6">
        <v>0</v>
      </c>
      <c r="I330" s="6">
        <f>I326-I329</f>
        <v>0</v>
      </c>
      <c r="J330" s="6">
        <f>J326-J329</f>
        <v>38970.577999999972</v>
      </c>
      <c r="K330" s="6" t="s">
        <v>18</v>
      </c>
    </row>
    <row r="331" spans="1:11" ht="18.75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ht="18.75" x14ac:dyDescent="0.3">
      <c r="A332" s="6">
        <v>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10">
        <v>0</v>
      </c>
      <c r="I332" s="6">
        <f>I327-I330</f>
        <v>0</v>
      </c>
      <c r="J332" s="6">
        <v>0</v>
      </c>
      <c r="K332" s="6"/>
    </row>
    <row r="333" spans="1:11" ht="18.75" x14ac:dyDescent="0.3">
      <c r="A333" s="6"/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f>I328-I332</f>
        <v>0</v>
      </c>
      <c r="J333" s="6">
        <v>0</v>
      </c>
      <c r="K333" s="10">
        <v>0</v>
      </c>
    </row>
    <row r="334" spans="1:11" ht="18.75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ht="18.75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ht="18.75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ht="18.75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ht="18.75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9"/>
      <c r="K338" s="6"/>
    </row>
    <row r="339" spans="1:11" ht="18.75" x14ac:dyDescent="0.3">
      <c r="A339" s="6"/>
      <c r="B339" s="12"/>
      <c r="C339" s="12"/>
      <c r="D339" s="12"/>
      <c r="E339" s="12"/>
      <c r="F339" s="12"/>
      <c r="G339" s="12"/>
      <c r="H339" s="12"/>
      <c r="I339" s="12"/>
      <c r="J339" s="9"/>
      <c r="K339" s="6"/>
    </row>
    <row r="340" spans="1:11" ht="18.75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9"/>
      <c r="K340" s="6"/>
    </row>
    <row r="341" spans="1:11" ht="18.75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9"/>
      <c r="K341" s="6"/>
    </row>
    <row r="342" spans="1:11" ht="18.75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9"/>
      <c r="K342" s="6"/>
    </row>
    <row r="343" spans="1:11" ht="18.75" x14ac:dyDescent="0.3">
      <c r="A343" s="6"/>
      <c r="B343" s="12"/>
      <c r="C343" s="12"/>
      <c r="D343" s="6"/>
      <c r="E343" s="12"/>
      <c r="F343" s="12"/>
      <c r="G343" s="12"/>
      <c r="H343" s="6"/>
      <c r="I343" s="6"/>
      <c r="J343" s="9"/>
      <c r="K343" s="6"/>
    </row>
    <row r="344" spans="1:11" ht="18.75" x14ac:dyDescent="0.3">
      <c r="A344" s="6"/>
      <c r="B344" s="12"/>
      <c r="C344" s="12"/>
      <c r="D344" s="12"/>
      <c r="E344" s="12"/>
      <c r="F344" s="12"/>
      <c r="G344" s="6"/>
      <c r="H344" s="6"/>
      <c r="I344" s="6"/>
      <c r="J344" s="9"/>
      <c r="K344" s="6"/>
    </row>
    <row r="345" spans="1:11" ht="18.75" x14ac:dyDescent="0.3">
      <c r="A345" s="12"/>
      <c r="B345" s="12"/>
      <c r="C345" s="12"/>
      <c r="D345" s="6"/>
      <c r="E345" s="6"/>
      <c r="F345" s="6"/>
      <c r="G345" s="6"/>
      <c r="H345" s="6"/>
      <c r="I345" s="6"/>
      <c r="J345" s="9"/>
      <c r="K345" s="6"/>
    </row>
    <row r="346" spans="1:11" ht="18.75" x14ac:dyDescent="0.3">
      <c r="A346" s="12"/>
      <c r="B346" s="12"/>
      <c r="C346" s="12"/>
      <c r="D346" s="6"/>
      <c r="E346" s="6"/>
      <c r="F346" s="6"/>
      <c r="G346" s="6"/>
      <c r="H346" s="6"/>
      <c r="I346" s="6"/>
      <c r="J346" s="6"/>
      <c r="K346" s="6"/>
    </row>
    <row r="347" spans="1:11" ht="18.75" x14ac:dyDescent="0.3">
      <c r="A347" s="12"/>
      <c r="B347" s="12"/>
      <c r="C347" s="6"/>
      <c r="D347" s="6"/>
      <c r="E347" s="6"/>
      <c r="F347" s="6"/>
      <c r="G347" s="6"/>
      <c r="H347" s="6"/>
      <c r="I347" s="6"/>
      <c r="J347" s="6"/>
      <c r="K347" s="6"/>
    </row>
    <row r="348" spans="1:11" ht="18.75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ht="18.75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ht="18.75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ht="18.75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ht="18.75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ht="18.75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ht="18.75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ht="18.75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ht="18.75" x14ac:dyDescent="0.3">
      <c r="A356" s="12"/>
      <c r="B356" s="12"/>
      <c r="C356" s="6"/>
      <c r="D356" s="6"/>
      <c r="E356" s="6"/>
      <c r="F356" s="6"/>
      <c r="G356" s="6"/>
      <c r="H356" s="6"/>
      <c r="I356" s="6"/>
      <c r="J356" s="6"/>
      <c r="K356" s="6"/>
    </row>
    <row r="357" spans="1:11" ht="18.75" x14ac:dyDescent="0.3">
      <c r="A357" s="12"/>
      <c r="B357" s="12"/>
      <c r="C357" s="6"/>
      <c r="D357" s="6"/>
      <c r="E357" s="6"/>
      <c r="F357" s="6"/>
      <c r="G357" s="6"/>
      <c r="H357" s="6"/>
      <c r="I357" s="6"/>
      <c r="J357" s="6"/>
      <c r="K357" s="6"/>
    </row>
    <row r="358" spans="1:11" ht="18.75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ht="18.75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ht="18.75" x14ac:dyDescent="0.3">
      <c r="A360" s="6"/>
      <c r="B360" s="6"/>
      <c r="C360" s="12"/>
      <c r="D360" s="12"/>
      <c r="E360" s="6"/>
      <c r="F360" s="6"/>
      <c r="G360" s="6"/>
      <c r="H360" s="6"/>
      <c r="I360" s="6"/>
      <c r="J360" s="6"/>
      <c r="K360" s="6"/>
    </row>
    <row r="361" spans="1:11" ht="18.75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ht="18.75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ht="18.75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ht="18.75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ht="18.75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ht="18.75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ht="18.75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ht="18.75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ht="18.75" x14ac:dyDescent="0.3">
      <c r="A369" s="6"/>
      <c r="B369" s="12"/>
      <c r="C369" s="12"/>
      <c r="D369" s="12"/>
      <c r="E369" s="12"/>
      <c r="F369" s="12"/>
      <c r="G369" s="6"/>
      <c r="H369" s="12"/>
      <c r="I369" s="6"/>
      <c r="J369" s="6"/>
      <c r="K369" s="6"/>
    </row>
    <row r="370" spans="1:11" ht="18.75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ht="18.75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ht="18.75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ht="18.75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ht="18.75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ht="18.75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ht="18.75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ht="18.75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ht="18.75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ht="18.75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ht="18.75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ht="18.75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ht="18.75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ht="18.75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ht="18.75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ht="18.75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ht="18.75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ht="18.75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ht="18.75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ht="18.75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ht="18.75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ht="18.75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ht="18.75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ht="18.75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ht="18.75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ht="18.75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ht="18.75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ht="18.75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ht="18.75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ht="18.7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8.7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8.75" x14ac:dyDescent="0.3">
      <c r="A401" s="6"/>
      <c r="B401" s="7"/>
      <c r="C401" s="1"/>
      <c r="D401" s="1"/>
      <c r="E401" s="1"/>
      <c r="F401" s="1"/>
      <c r="G401" s="1"/>
      <c r="H401" s="1"/>
      <c r="I401" s="1"/>
      <c r="J401" s="6"/>
      <c r="K401" s="1"/>
    </row>
    <row r="402" spans="1:11" ht="18.75" x14ac:dyDescent="0.3">
      <c r="A402" s="6"/>
      <c r="B402" s="7"/>
      <c r="C402" s="1"/>
      <c r="D402" s="1"/>
      <c r="E402" s="1"/>
      <c r="F402" s="1"/>
      <c r="G402" s="1"/>
      <c r="H402" s="1"/>
      <c r="I402" s="1"/>
      <c r="J402" s="6"/>
      <c r="K402" s="1"/>
    </row>
    <row r="403" spans="1:11" ht="18.75" x14ac:dyDescent="0.3">
      <c r="A403" s="6"/>
      <c r="B403" s="7"/>
      <c r="C403" s="1"/>
      <c r="D403" s="1"/>
      <c r="E403" s="1"/>
      <c r="F403" s="1"/>
      <c r="G403" s="1"/>
      <c r="H403" s="1"/>
      <c r="I403" s="1"/>
      <c r="J403" s="6"/>
      <c r="K403" s="1"/>
    </row>
    <row r="404" spans="1:11" ht="18.75" x14ac:dyDescent="0.3">
      <c r="A404" s="6"/>
      <c r="B404" s="7"/>
      <c r="C404" s="1"/>
      <c r="D404" s="1"/>
      <c r="E404" s="1"/>
      <c r="F404" s="1"/>
      <c r="G404" s="1"/>
      <c r="H404" s="1"/>
      <c r="I404" s="1"/>
      <c r="J404" s="6"/>
      <c r="K404" s="1"/>
    </row>
    <row r="405" spans="1:11" ht="18.75" x14ac:dyDescent="0.3">
      <c r="A405" s="6"/>
      <c r="B405" s="7"/>
      <c r="C405" s="1"/>
      <c r="D405" s="1"/>
      <c r="E405" s="1"/>
      <c r="F405" s="1"/>
      <c r="G405" s="1"/>
      <c r="H405" s="1"/>
      <c r="I405" s="1"/>
      <c r="J405" s="6"/>
      <c r="K405" s="1"/>
    </row>
    <row r="406" spans="1:11" ht="18.75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ht="18.75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ht="18.7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8.7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8.75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ht="18.75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ht="18.75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ht="18.75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ht="18.75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ht="18.75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ht="18.75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ht="18.75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ht="18.75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ht="18.75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ht="18.75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ht="18.75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ht="18.75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ht="18.75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ht="18.75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ht="18.75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ht="18.75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ht="18.75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ht="18.75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ht="18.75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ht="18.75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ht="18.75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ht="18.75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ht="18.75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ht="18.75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ht="18.75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ht="18.75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ht="18.75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ht="18.75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ht="18.75" x14ac:dyDescent="0.3">
      <c r="A439" s="1" t="s">
        <v>19</v>
      </c>
      <c r="B439" s="1"/>
      <c r="C439" s="1"/>
      <c r="D439" s="1" t="s">
        <v>21</v>
      </c>
      <c r="E439" s="1"/>
      <c r="F439" s="1"/>
      <c r="G439" s="1"/>
      <c r="H439" s="1"/>
      <c r="I439" s="1"/>
      <c r="J439" s="1"/>
      <c r="K439" s="1"/>
    </row>
    <row r="440" spans="1:11" ht="18.7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8.75" x14ac:dyDescent="0.3">
      <c r="A441" s="1"/>
      <c r="B441" s="1" t="s">
        <v>2</v>
      </c>
      <c r="C441" s="1" t="s">
        <v>3</v>
      </c>
      <c r="D441" s="1" t="s">
        <v>4</v>
      </c>
      <c r="E441" s="1" t="s">
        <v>5</v>
      </c>
      <c r="F441" s="1" t="s">
        <v>6</v>
      </c>
      <c r="G441" s="1" t="s">
        <v>7</v>
      </c>
      <c r="H441" s="1" t="s">
        <v>8</v>
      </c>
      <c r="I441" s="1" t="s">
        <v>9</v>
      </c>
      <c r="J441" s="1" t="s">
        <v>1</v>
      </c>
      <c r="K441" s="1" t="s">
        <v>1</v>
      </c>
    </row>
    <row r="442" spans="1:11" ht="18.75" x14ac:dyDescent="0.3">
      <c r="A442" s="2">
        <v>45017</v>
      </c>
      <c r="B442" s="3">
        <f>698240.66-697470.3</f>
        <v>770.35999999998603</v>
      </c>
      <c r="C442" s="3">
        <f>874201.26-873857.69</f>
        <v>343.57000000006519</v>
      </c>
      <c r="D442" s="1">
        <f>219172.77-219172.77</f>
        <v>0</v>
      </c>
      <c r="E442" s="3">
        <f t="shared" ref="E442:E449" si="34">330495.32-330495.32</f>
        <v>0</v>
      </c>
      <c r="F442" s="1">
        <f>935868.54-935049.51</f>
        <v>819.03000000002794</v>
      </c>
      <c r="G442" s="1">
        <f t="shared" ref="G442:G452" si="35">549239.31-549239.31</f>
        <v>0</v>
      </c>
      <c r="H442" s="1">
        <f t="shared" ref="H442:H471" si="36">1081662-1081662</f>
        <v>0</v>
      </c>
      <c r="I442" s="1"/>
      <c r="J442" s="3">
        <f t="shared" ref="J442" si="37">SUM(B442:I442)</f>
        <v>1932.9600000000792</v>
      </c>
      <c r="K442" s="4">
        <f>J442*265</f>
        <v>512234.40000002098</v>
      </c>
    </row>
    <row r="443" spans="1:11" ht="18.75" x14ac:dyDescent="0.3">
      <c r="A443" s="2">
        <v>45018</v>
      </c>
      <c r="B443" s="3">
        <f>698250.66-698240.66</f>
        <v>10</v>
      </c>
      <c r="C443" s="3">
        <f>875234.96-874201.26</f>
        <v>1033.6999999999534</v>
      </c>
      <c r="D443" s="1">
        <f>219172.77-219172.77</f>
        <v>0</v>
      </c>
      <c r="E443" s="3">
        <f t="shared" si="34"/>
        <v>0</v>
      </c>
      <c r="F443" s="1">
        <f>936782.59-935868.54</f>
        <v>914.04999999993015</v>
      </c>
      <c r="G443" s="1">
        <f t="shared" si="35"/>
        <v>0</v>
      </c>
      <c r="H443" s="1">
        <f t="shared" si="36"/>
        <v>0</v>
      </c>
      <c r="I443" s="1"/>
      <c r="J443" s="3">
        <f t="shared" ref="J443:J452" si="38">SUM(B443:I443)</f>
        <v>1957.7499999998836</v>
      </c>
      <c r="K443" s="4">
        <f t="shared" ref="K443:K471" si="39">J443*265</f>
        <v>518803.74999996915</v>
      </c>
    </row>
    <row r="444" spans="1:11" ht="18.75" x14ac:dyDescent="0.3">
      <c r="A444" s="2">
        <v>45019</v>
      </c>
      <c r="B444" s="3">
        <f>698250.66-698250.66</f>
        <v>0</v>
      </c>
      <c r="C444" s="3">
        <f>876945.43-875234.96</f>
        <v>1710.4700000000885</v>
      </c>
      <c r="D444" s="1">
        <f>219172.77-219172.77</f>
        <v>0</v>
      </c>
      <c r="E444" s="3">
        <f t="shared" si="34"/>
        <v>0</v>
      </c>
      <c r="F444" s="1">
        <f>938369.9-936782.59</f>
        <v>1587.3100000000559</v>
      </c>
      <c r="G444" s="1">
        <f t="shared" si="35"/>
        <v>0</v>
      </c>
      <c r="H444" s="1">
        <f t="shared" si="36"/>
        <v>0</v>
      </c>
      <c r="I444" s="1"/>
      <c r="J444" s="3">
        <f t="shared" si="38"/>
        <v>3297.7800000001444</v>
      </c>
      <c r="K444" s="4">
        <f t="shared" si="39"/>
        <v>873911.70000003825</v>
      </c>
    </row>
    <row r="445" spans="1:11" ht="18.75" x14ac:dyDescent="0.3">
      <c r="A445" s="2">
        <v>45020</v>
      </c>
      <c r="B445" s="3">
        <f>699287.96-698250.66</f>
        <v>1037.2999999999302</v>
      </c>
      <c r="C445" s="3">
        <f>877922.58-876945.43</f>
        <v>977.14999999990687</v>
      </c>
      <c r="D445" s="1">
        <f>219700.99-219172.77</f>
        <v>528.22000000000116</v>
      </c>
      <c r="E445" s="3">
        <f t="shared" si="34"/>
        <v>0</v>
      </c>
      <c r="F445" s="1">
        <f>940825.5-938369.9</f>
        <v>2455.5999999999767</v>
      </c>
      <c r="G445" s="1">
        <f t="shared" si="35"/>
        <v>0</v>
      </c>
      <c r="H445" s="1">
        <f t="shared" si="36"/>
        <v>0</v>
      </c>
      <c r="I445" s="1"/>
      <c r="J445" s="3">
        <f t="shared" si="38"/>
        <v>4998.2699999998149</v>
      </c>
      <c r="K445" s="4">
        <f t="shared" si="39"/>
        <v>1324541.5499999509</v>
      </c>
    </row>
    <row r="446" spans="1:11" ht="18.75" x14ac:dyDescent="0.3">
      <c r="A446" s="2">
        <v>45021</v>
      </c>
      <c r="B446" s="3">
        <f>699287.96-699287.96</f>
        <v>0</v>
      </c>
      <c r="C446" s="3">
        <f>878756.11-877922.58</f>
        <v>833.53000000002794</v>
      </c>
      <c r="D446" s="1">
        <f>220449.38-219700.99</f>
        <v>748.39000000001397</v>
      </c>
      <c r="E446" s="3">
        <f t="shared" si="34"/>
        <v>0</v>
      </c>
      <c r="F446" s="1">
        <f>942355.35-940825.5</f>
        <v>1529.8499999999767</v>
      </c>
      <c r="G446" s="1">
        <f t="shared" si="35"/>
        <v>0</v>
      </c>
      <c r="H446" s="1">
        <f t="shared" si="36"/>
        <v>0</v>
      </c>
      <c r="I446" s="1"/>
      <c r="J446" s="3">
        <f t="shared" si="38"/>
        <v>3111.7700000000186</v>
      </c>
      <c r="K446" s="4">
        <f t="shared" si="39"/>
        <v>824619.05000000494</v>
      </c>
    </row>
    <row r="447" spans="1:11" ht="18.75" x14ac:dyDescent="0.3">
      <c r="A447" s="2">
        <v>45022</v>
      </c>
      <c r="B447" s="3">
        <f>699287.96-699287.96</f>
        <v>0</v>
      </c>
      <c r="C447" s="3">
        <f>880891.5-878756.11</f>
        <v>2135.390000000014</v>
      </c>
      <c r="D447" s="1">
        <f>221542.44-220449.38</f>
        <v>1093.0599999999977</v>
      </c>
      <c r="E447" s="3">
        <f t="shared" si="34"/>
        <v>0</v>
      </c>
      <c r="F447" s="1">
        <f>944551.57-942355.35</f>
        <v>2196.2199999999721</v>
      </c>
      <c r="G447" s="1">
        <f t="shared" si="35"/>
        <v>0</v>
      </c>
      <c r="H447" s="1">
        <f t="shared" si="36"/>
        <v>0</v>
      </c>
      <c r="I447" s="1"/>
      <c r="J447" s="3">
        <f t="shared" si="38"/>
        <v>5424.6699999999837</v>
      </c>
      <c r="K447" s="4">
        <f t="shared" si="39"/>
        <v>1437537.5499999956</v>
      </c>
    </row>
    <row r="448" spans="1:11" ht="18.75" x14ac:dyDescent="0.3">
      <c r="A448" s="2">
        <v>45023</v>
      </c>
      <c r="B448" s="3">
        <f>699287.96-699287.96</f>
        <v>0</v>
      </c>
      <c r="C448" s="3">
        <f>884119.28-880891.5</f>
        <v>3227.7800000000279</v>
      </c>
      <c r="D448" s="1">
        <f>221542.44-221542.44</f>
        <v>0</v>
      </c>
      <c r="E448" s="3">
        <f t="shared" si="34"/>
        <v>0</v>
      </c>
      <c r="F448" s="1">
        <f>946851.28-944551.57</f>
        <v>2299.7100000000792</v>
      </c>
      <c r="G448" s="1">
        <f t="shared" si="35"/>
        <v>0</v>
      </c>
      <c r="H448" s="1">
        <f t="shared" si="36"/>
        <v>0</v>
      </c>
      <c r="I448" s="1"/>
      <c r="J448" s="3">
        <f t="shared" si="38"/>
        <v>5527.4900000001071</v>
      </c>
      <c r="K448" s="4">
        <f t="shared" si="39"/>
        <v>1464784.8500000285</v>
      </c>
    </row>
    <row r="449" spans="1:11" ht="18.75" x14ac:dyDescent="0.3">
      <c r="A449" s="2">
        <v>45024</v>
      </c>
      <c r="B449" s="3">
        <f>700588.63-699287.96</f>
        <v>1300.6700000000419</v>
      </c>
      <c r="C449" s="3">
        <f>885283.46-884119.28</f>
        <v>1164.1799999999348</v>
      </c>
      <c r="D449" s="1">
        <f>222989.52-221542.44</f>
        <v>1447.0799999999872</v>
      </c>
      <c r="E449" s="3">
        <f t="shared" si="34"/>
        <v>0</v>
      </c>
      <c r="F449" s="1">
        <f>947021.57-946851.28</f>
        <v>170.28999999992084</v>
      </c>
      <c r="G449" s="1">
        <f t="shared" si="35"/>
        <v>0</v>
      </c>
      <c r="H449" s="1">
        <f t="shared" si="36"/>
        <v>0</v>
      </c>
      <c r="I449" s="1"/>
      <c r="J449" s="3">
        <f t="shared" si="38"/>
        <v>4082.2199999998847</v>
      </c>
      <c r="K449" s="4">
        <f t="shared" si="39"/>
        <v>1081788.2999999695</v>
      </c>
    </row>
    <row r="450" spans="1:11" ht="18.75" x14ac:dyDescent="0.3">
      <c r="A450" s="2">
        <v>45025</v>
      </c>
      <c r="B450" s="3">
        <f>700588.63-700588.63</f>
        <v>0</v>
      </c>
      <c r="C450" s="3">
        <f>887138.1-885283.46</f>
        <v>1854.640000000014</v>
      </c>
      <c r="D450" s="1">
        <f>222989.52-222989.52</f>
        <v>0</v>
      </c>
      <c r="E450" s="3">
        <f>331630.74-330495.32</f>
        <v>1135.4199999999837</v>
      </c>
      <c r="F450" s="1">
        <f>947463.78-947021.57</f>
        <v>442.21000000007916</v>
      </c>
      <c r="G450" s="1">
        <f t="shared" si="35"/>
        <v>0</v>
      </c>
      <c r="H450" s="1">
        <f t="shared" si="36"/>
        <v>0</v>
      </c>
      <c r="I450" s="1"/>
      <c r="J450" s="3">
        <f t="shared" si="38"/>
        <v>3432.2700000000768</v>
      </c>
      <c r="K450" s="4">
        <f t="shared" si="39"/>
        <v>909551.5500000203</v>
      </c>
    </row>
    <row r="451" spans="1:11" ht="18.75" x14ac:dyDescent="0.3">
      <c r="A451" s="2">
        <v>45026</v>
      </c>
      <c r="B451" s="3">
        <f>701158.28-700588.63</f>
        <v>569.65000000002328</v>
      </c>
      <c r="C451" s="3">
        <f>887634.61-887138.1</f>
        <v>496.51000000000931</v>
      </c>
      <c r="D451" s="1">
        <f>222989.52-222989.52</f>
        <v>0</v>
      </c>
      <c r="E451" s="3">
        <f t="shared" ref="E451:E463" si="40">331630.74-331630.74</f>
        <v>0</v>
      </c>
      <c r="F451" s="1">
        <f>949001.01-947463.78</f>
        <v>1537.2299999999814</v>
      </c>
      <c r="G451" s="1">
        <f t="shared" si="35"/>
        <v>0</v>
      </c>
      <c r="H451" s="1">
        <f t="shared" si="36"/>
        <v>0</v>
      </c>
      <c r="I451" s="1"/>
      <c r="J451" s="3">
        <f t="shared" si="38"/>
        <v>2603.390000000014</v>
      </c>
      <c r="K451" s="4">
        <f t="shared" si="39"/>
        <v>689898.3500000037</v>
      </c>
    </row>
    <row r="452" spans="1:11" ht="18.75" x14ac:dyDescent="0.3">
      <c r="A452" s="2">
        <v>45027</v>
      </c>
      <c r="B452" s="3">
        <f>701158.28-701158.28</f>
        <v>0</v>
      </c>
      <c r="C452" s="3">
        <f>889635.08-887634.61</f>
        <v>2000.4699999999721</v>
      </c>
      <c r="D452" s="1">
        <f>225361.64-222989.52</f>
        <v>2372.1200000000244</v>
      </c>
      <c r="E452" s="3">
        <f t="shared" si="40"/>
        <v>0</v>
      </c>
      <c r="F452" s="1">
        <f>949001.01-949001.01</f>
        <v>0</v>
      </c>
      <c r="G452" s="1">
        <f t="shared" si="35"/>
        <v>0</v>
      </c>
      <c r="H452" s="1">
        <f t="shared" si="36"/>
        <v>0</v>
      </c>
      <c r="I452" s="1"/>
      <c r="J452" s="3">
        <f t="shared" si="38"/>
        <v>4372.5899999999965</v>
      </c>
      <c r="K452" s="4">
        <f t="shared" si="39"/>
        <v>1158736.3499999992</v>
      </c>
    </row>
    <row r="453" spans="1:11" ht="18.75" x14ac:dyDescent="0.3">
      <c r="A453" s="2">
        <v>45028</v>
      </c>
      <c r="B453" s="3">
        <f>701158.28-701158.28</f>
        <v>0</v>
      </c>
      <c r="C453" s="3">
        <f>890394.85-889635.08</f>
        <v>759.77000000001863</v>
      </c>
      <c r="D453" s="1">
        <f>226190.77-225361.64</f>
        <v>829.12999999997555</v>
      </c>
      <c r="E453" s="3">
        <f t="shared" si="40"/>
        <v>0</v>
      </c>
      <c r="F453" s="1">
        <f>950202.96-949001.01</f>
        <v>1201.9499999999534</v>
      </c>
      <c r="G453" s="1">
        <f>550058.46-549239.31</f>
        <v>819.14999999990687</v>
      </c>
      <c r="H453" s="1">
        <f t="shared" si="36"/>
        <v>0</v>
      </c>
      <c r="I453" s="1"/>
      <c r="J453" s="3">
        <f t="shared" ref="J453:J464" si="41">SUM(B453:I453)</f>
        <v>3609.9999999998545</v>
      </c>
      <c r="K453" s="4">
        <f t="shared" si="39"/>
        <v>956649.99999996147</v>
      </c>
    </row>
    <row r="454" spans="1:11" ht="18.75" x14ac:dyDescent="0.3">
      <c r="A454" s="2">
        <v>45029</v>
      </c>
      <c r="B454" s="3">
        <f>701158.28-701158.28</f>
        <v>0</v>
      </c>
      <c r="C454" s="3">
        <f>891578.02-890394.85</f>
        <v>1183.1700000000419</v>
      </c>
      <c r="D454" s="1">
        <f>226735.74-226190.77</f>
        <v>544.97000000000116</v>
      </c>
      <c r="E454" s="3">
        <f t="shared" si="40"/>
        <v>0</v>
      </c>
      <c r="F454" s="1">
        <f>950926.48-950202.96</f>
        <v>723.52000000001863</v>
      </c>
      <c r="G454" s="1">
        <f>551514.42-550058.46</f>
        <v>1455.9600000000792</v>
      </c>
      <c r="H454" s="1">
        <f t="shared" si="36"/>
        <v>0</v>
      </c>
      <c r="I454" s="1"/>
      <c r="J454" s="3">
        <f t="shared" si="41"/>
        <v>3907.6200000001409</v>
      </c>
      <c r="K454" s="4">
        <f t="shared" si="39"/>
        <v>1035519.3000000373</v>
      </c>
    </row>
    <row r="455" spans="1:11" ht="18.75" x14ac:dyDescent="0.3">
      <c r="A455" s="2">
        <v>45030</v>
      </c>
      <c r="B455" s="3">
        <f>701190.75-701158.28</f>
        <v>32.46999999997206</v>
      </c>
      <c r="C455" s="3">
        <f>892532.52-891578.02</f>
        <v>954.5</v>
      </c>
      <c r="D455" s="1">
        <f>227320.44-226735.74</f>
        <v>584.70000000001164</v>
      </c>
      <c r="E455" s="3">
        <f t="shared" si="40"/>
        <v>0</v>
      </c>
      <c r="F455" s="1">
        <f>950946.91-950926.48</f>
        <v>20.430000000051223</v>
      </c>
      <c r="G455" s="1">
        <f>553180.83-551514.42</f>
        <v>1666.4099999999162</v>
      </c>
      <c r="H455" s="1">
        <f t="shared" si="36"/>
        <v>0</v>
      </c>
      <c r="I455" s="1"/>
      <c r="J455" s="3">
        <f t="shared" si="41"/>
        <v>3258.5099999999511</v>
      </c>
      <c r="K455" s="4">
        <f t="shared" si="39"/>
        <v>863505.1499999871</v>
      </c>
    </row>
    <row r="456" spans="1:11" ht="18.75" x14ac:dyDescent="0.3">
      <c r="A456" s="2">
        <v>45031</v>
      </c>
      <c r="B456" s="3">
        <f>701190.75-701190.75</f>
        <v>0</v>
      </c>
      <c r="C456" s="3">
        <f>894068.38-892532.52</f>
        <v>1535.859999999986</v>
      </c>
      <c r="D456" s="1">
        <f>227320.44-227320.44</f>
        <v>0</v>
      </c>
      <c r="E456" s="3">
        <f t="shared" si="40"/>
        <v>0</v>
      </c>
      <c r="F456" s="1">
        <f>1555324-1554379</f>
        <v>945</v>
      </c>
      <c r="G456" s="1">
        <f>554052.11-553180.83</f>
        <v>871.28000000002794</v>
      </c>
      <c r="H456" s="1">
        <f t="shared" si="36"/>
        <v>0</v>
      </c>
      <c r="I456" s="1"/>
      <c r="J456" s="3">
        <f t="shared" si="41"/>
        <v>3352.140000000014</v>
      </c>
      <c r="K456" s="4">
        <f t="shared" si="39"/>
        <v>888317.1000000037</v>
      </c>
    </row>
    <row r="457" spans="1:11" ht="18.75" x14ac:dyDescent="0.3">
      <c r="A457" s="2">
        <v>45032</v>
      </c>
      <c r="B457" s="3">
        <f>701796.44-701190.75</f>
        <v>605.68999999994412</v>
      </c>
      <c r="C457" s="3">
        <f>894760.07-894068.38</f>
        <v>691.68999999994412</v>
      </c>
      <c r="D457" s="1">
        <f>227320.44-227320.44</f>
        <v>0</v>
      </c>
      <c r="E457" s="3">
        <f t="shared" si="40"/>
        <v>0</v>
      </c>
      <c r="F457" s="1">
        <f>952789.86-951871.68</f>
        <v>918.17999999993481</v>
      </c>
      <c r="G457" s="1">
        <f>554919.22-554052.11</f>
        <v>867.10999999998603</v>
      </c>
      <c r="H457" s="1">
        <f t="shared" si="36"/>
        <v>0</v>
      </c>
      <c r="I457" s="1"/>
      <c r="J457" s="3">
        <f t="shared" si="41"/>
        <v>3082.6699999998091</v>
      </c>
      <c r="K457" s="4">
        <f t="shared" si="39"/>
        <v>816907.54999994941</v>
      </c>
    </row>
    <row r="458" spans="1:11" ht="18.75" x14ac:dyDescent="0.3">
      <c r="A458" s="2">
        <v>45033</v>
      </c>
      <c r="B458" s="3">
        <f>701796.44-701796.44</f>
        <v>0</v>
      </c>
      <c r="C458" s="3">
        <f>894760.07-894760.07</f>
        <v>0</v>
      </c>
      <c r="D458" s="1">
        <f>228292.67-227320.44</f>
        <v>972.23000000001048</v>
      </c>
      <c r="E458" s="3">
        <f t="shared" si="40"/>
        <v>0</v>
      </c>
      <c r="F458" s="1">
        <f>954559.2-952789.86</f>
        <v>1769.3399999999674</v>
      </c>
      <c r="G458" s="1">
        <f>554919.22-554919.22</f>
        <v>0</v>
      </c>
      <c r="H458" s="1">
        <f t="shared" si="36"/>
        <v>0</v>
      </c>
      <c r="I458" s="1"/>
      <c r="J458" s="3">
        <f t="shared" si="41"/>
        <v>2741.5699999999779</v>
      </c>
      <c r="K458" s="4">
        <f t="shared" si="39"/>
        <v>726516.04999999411</v>
      </c>
    </row>
    <row r="459" spans="1:11" ht="18.75" x14ac:dyDescent="0.3">
      <c r="A459" s="2">
        <v>45034</v>
      </c>
      <c r="B459" s="3">
        <f>702886.62-701796.44</f>
        <v>1090.1800000000512</v>
      </c>
      <c r="C459" s="3">
        <f>895744.18-894760.07</f>
        <v>984.11000000010245</v>
      </c>
      <c r="D459" s="1">
        <f>228797.99-228292.67</f>
        <v>505.31999999997788</v>
      </c>
      <c r="E459" s="3">
        <f t="shared" si="40"/>
        <v>0</v>
      </c>
      <c r="F459" s="1">
        <f>954559.2-954559.2</f>
        <v>0</v>
      </c>
      <c r="G459" s="1">
        <f>554919.22-554919.22</f>
        <v>0</v>
      </c>
      <c r="H459" s="1">
        <f t="shared" si="36"/>
        <v>0</v>
      </c>
      <c r="I459" s="1"/>
      <c r="J459" s="3">
        <f t="shared" si="41"/>
        <v>2579.6100000001315</v>
      </c>
      <c r="K459" s="4">
        <f t="shared" si="39"/>
        <v>683596.65000003483</v>
      </c>
    </row>
    <row r="460" spans="1:11" ht="18.75" x14ac:dyDescent="0.3">
      <c r="A460" s="2">
        <v>45035</v>
      </c>
      <c r="B460" s="3">
        <f>702886.62-702886.62</f>
        <v>0</v>
      </c>
      <c r="C460" s="3">
        <f>895744.18-895744.18</f>
        <v>0</v>
      </c>
      <c r="D460" s="1">
        <f>229843.97-228797.99</f>
        <v>1045.9800000000105</v>
      </c>
      <c r="E460" s="3">
        <f t="shared" si="40"/>
        <v>0</v>
      </c>
      <c r="F460" s="1">
        <f>955423.56-954559.2</f>
        <v>864.36000000010245</v>
      </c>
      <c r="G460" s="1">
        <f>554919.22-554919.22</f>
        <v>0</v>
      </c>
      <c r="H460" s="1">
        <f t="shared" si="36"/>
        <v>0</v>
      </c>
      <c r="I460" s="1"/>
      <c r="J460" s="3">
        <f t="shared" si="41"/>
        <v>1910.3400000001129</v>
      </c>
      <c r="K460" s="4">
        <f t="shared" si="39"/>
        <v>506240.1000000299</v>
      </c>
    </row>
    <row r="461" spans="1:11" ht="18.75" x14ac:dyDescent="0.3">
      <c r="A461" s="2">
        <v>45036</v>
      </c>
      <c r="B461" s="3">
        <f>702886.62-702886.62</f>
        <v>0</v>
      </c>
      <c r="C461" s="3">
        <f>897337.79-895744.18</f>
        <v>1593.609999999986</v>
      </c>
      <c r="D461" s="1">
        <f>229843.97-229843.97</f>
        <v>0</v>
      </c>
      <c r="E461" s="3">
        <f t="shared" si="40"/>
        <v>0</v>
      </c>
      <c r="F461" s="1">
        <f>956024.71-955423.56</f>
        <v>601.14999999990687</v>
      </c>
      <c r="G461" s="1">
        <f>554919.22-554919.22</f>
        <v>0</v>
      </c>
      <c r="H461" s="1">
        <f t="shared" si="36"/>
        <v>0</v>
      </c>
      <c r="I461" s="1"/>
      <c r="J461" s="3">
        <f t="shared" si="41"/>
        <v>2194.7599999998929</v>
      </c>
      <c r="K461" s="4">
        <f t="shared" si="39"/>
        <v>581611.39999997162</v>
      </c>
    </row>
    <row r="462" spans="1:11" ht="18.75" x14ac:dyDescent="0.3">
      <c r="A462" s="2">
        <v>45037</v>
      </c>
      <c r="B462" s="3">
        <f>703093.95-702886.62</f>
        <v>207.32999999995809</v>
      </c>
      <c r="C462" s="3">
        <f>897924.22-897337.79</f>
        <v>586.42999999993481</v>
      </c>
      <c r="D462" s="1">
        <f>231952.55-229843.97</f>
        <v>2108.5799999999872</v>
      </c>
      <c r="E462" s="3">
        <f t="shared" si="40"/>
        <v>0</v>
      </c>
      <c r="F462" s="1">
        <f>956024.71-956024.71</f>
        <v>0</v>
      </c>
      <c r="G462" s="1">
        <f>554919.22-554919.22</f>
        <v>0</v>
      </c>
      <c r="H462" s="1">
        <f t="shared" si="36"/>
        <v>0</v>
      </c>
      <c r="I462" s="1"/>
      <c r="J462" s="3">
        <f t="shared" si="41"/>
        <v>2902.3399999998801</v>
      </c>
      <c r="K462" s="4">
        <f t="shared" si="39"/>
        <v>769120.0999999682</v>
      </c>
    </row>
    <row r="463" spans="1:11" ht="18.75" x14ac:dyDescent="0.3">
      <c r="A463" s="2">
        <v>45038</v>
      </c>
      <c r="B463" s="3">
        <f t="shared" ref="B463:B468" si="42">703093.95-703093.95</f>
        <v>0</v>
      </c>
      <c r="C463" s="3">
        <f>897924.22-897924.22</f>
        <v>0</v>
      </c>
      <c r="D463" s="1">
        <f>233046.35-231952.55</f>
        <v>1093.8000000000175</v>
      </c>
      <c r="E463" s="3">
        <f t="shared" si="40"/>
        <v>0</v>
      </c>
      <c r="F463" s="1">
        <f>956689.49-956024.71</f>
        <v>664.78000000002794</v>
      </c>
      <c r="G463" s="1">
        <f>556181.72-554919.22</f>
        <v>1262.5</v>
      </c>
      <c r="H463" s="1">
        <f t="shared" si="36"/>
        <v>0</v>
      </c>
      <c r="I463" s="1"/>
      <c r="J463" s="3">
        <f t="shared" si="41"/>
        <v>3021.0800000000454</v>
      </c>
      <c r="K463" s="4">
        <f t="shared" si="39"/>
        <v>800586.20000001206</v>
      </c>
    </row>
    <row r="464" spans="1:11" ht="18.75" x14ac:dyDescent="0.3">
      <c r="A464" s="2">
        <v>45039</v>
      </c>
      <c r="B464" s="3">
        <f t="shared" si="42"/>
        <v>0</v>
      </c>
      <c r="C464" s="3">
        <f>899212.92-897924.22</f>
        <v>1288.7000000000698</v>
      </c>
      <c r="D464" s="1">
        <f>233054.19-233046.35</f>
        <v>7.8399999999965075</v>
      </c>
      <c r="E464" s="3">
        <f>333157.7-331630.74</f>
        <v>1526.960000000021</v>
      </c>
      <c r="F464" s="1">
        <f>956770.6-956689.49</f>
        <v>81.10999999998603</v>
      </c>
      <c r="G464" s="1">
        <f t="shared" ref="G464:G471" si="43">556181.72-556181.72</f>
        <v>0</v>
      </c>
      <c r="H464" s="1">
        <f t="shared" si="36"/>
        <v>0</v>
      </c>
      <c r="I464" s="1"/>
      <c r="J464" s="3">
        <f t="shared" si="41"/>
        <v>2904.6100000000733</v>
      </c>
      <c r="K464" s="4">
        <f t="shared" si="39"/>
        <v>769721.65000001946</v>
      </c>
    </row>
    <row r="465" spans="1:11" ht="18.75" x14ac:dyDescent="0.3">
      <c r="A465" s="2">
        <v>45040</v>
      </c>
      <c r="B465" s="3">
        <f t="shared" si="42"/>
        <v>0</v>
      </c>
      <c r="C465" s="3">
        <f>900595.94-899212.92</f>
        <v>1383.0199999999022</v>
      </c>
      <c r="D465" s="1">
        <f>234085.73-233054.19</f>
        <v>1031.5400000000081</v>
      </c>
      <c r="E465" s="3">
        <f>333157.7-333157.7</f>
        <v>0</v>
      </c>
      <c r="F465" s="1">
        <f>956770.6-956770.6</f>
        <v>0</v>
      </c>
      <c r="G465" s="1">
        <f t="shared" si="43"/>
        <v>0</v>
      </c>
      <c r="H465" s="1">
        <f t="shared" si="36"/>
        <v>0</v>
      </c>
      <c r="I465" s="1"/>
      <c r="J465" s="3">
        <f t="shared" ref="J465:J471" si="44">SUM(B465:I465)</f>
        <v>2414.5599999999104</v>
      </c>
      <c r="K465" s="4">
        <f t="shared" si="39"/>
        <v>639858.39999997627</v>
      </c>
    </row>
    <row r="466" spans="1:11" ht="18.75" x14ac:dyDescent="0.3">
      <c r="A466" s="2">
        <v>45041</v>
      </c>
      <c r="B466" s="3">
        <f t="shared" si="42"/>
        <v>0</v>
      </c>
      <c r="C466" s="3">
        <f>900595.94-900595.94</f>
        <v>0</v>
      </c>
      <c r="D466" s="1">
        <f>234550.01-234085.73</f>
        <v>464.27999999999884</v>
      </c>
      <c r="E466" s="3">
        <f>333694.95-333157.7</f>
        <v>537.25</v>
      </c>
      <c r="F466" s="1">
        <f>957963.43-956770.6</f>
        <v>1192.8300000000745</v>
      </c>
      <c r="G466" s="1">
        <f t="shared" si="43"/>
        <v>0</v>
      </c>
      <c r="H466" s="1">
        <f t="shared" si="36"/>
        <v>0</v>
      </c>
      <c r="I466" s="1"/>
      <c r="J466" s="3">
        <f t="shared" si="44"/>
        <v>2194.3600000000733</v>
      </c>
      <c r="K466" s="4">
        <f t="shared" si="39"/>
        <v>581505.40000001946</v>
      </c>
    </row>
    <row r="467" spans="1:11" ht="18.75" x14ac:dyDescent="0.3">
      <c r="A467" s="2">
        <v>45042</v>
      </c>
      <c r="B467" s="3">
        <f t="shared" si="42"/>
        <v>0</v>
      </c>
      <c r="C467" s="3">
        <f>901512.31-900595.94</f>
        <v>916.37000000011176</v>
      </c>
      <c r="D467" s="1">
        <f>235119.37-234550.01</f>
        <v>569.35999999998603</v>
      </c>
      <c r="E467" s="3">
        <f>334230.28-333694.95</f>
        <v>535.3300000000163</v>
      </c>
      <c r="F467" s="1">
        <f>958465.76-957963.43</f>
        <v>502.32999999995809</v>
      </c>
      <c r="G467" s="1">
        <f t="shared" si="43"/>
        <v>0</v>
      </c>
      <c r="H467" s="1">
        <f t="shared" si="36"/>
        <v>0</v>
      </c>
      <c r="I467" s="1"/>
      <c r="J467" s="3">
        <f t="shared" si="44"/>
        <v>2523.3900000000722</v>
      </c>
      <c r="K467" s="4">
        <f t="shared" si="39"/>
        <v>668698.35000001919</v>
      </c>
    </row>
    <row r="468" spans="1:11" ht="18.75" x14ac:dyDescent="0.3">
      <c r="A468" s="2">
        <v>45043</v>
      </c>
      <c r="B468" s="3">
        <f t="shared" si="42"/>
        <v>0</v>
      </c>
      <c r="C468" s="3">
        <f>901512.31-901512.31</f>
        <v>0</v>
      </c>
      <c r="D468" s="1">
        <f>236555.21-235119.37</f>
        <v>1435.8399999999965</v>
      </c>
      <c r="E468" s="3">
        <f>334230.28-334230.28</f>
        <v>0</v>
      </c>
      <c r="F468" s="1">
        <f>960258.84-958465.76</f>
        <v>1793.0799999999581</v>
      </c>
      <c r="G468" s="1">
        <f t="shared" si="43"/>
        <v>0</v>
      </c>
      <c r="H468" s="1">
        <f t="shared" si="36"/>
        <v>0</v>
      </c>
      <c r="I468" s="1"/>
      <c r="J468" s="3">
        <f t="shared" si="44"/>
        <v>3228.9199999999546</v>
      </c>
      <c r="K468" s="4">
        <f t="shared" si="39"/>
        <v>855663.79999998794</v>
      </c>
    </row>
    <row r="469" spans="1:11" ht="18.75" x14ac:dyDescent="0.3">
      <c r="A469" s="2">
        <v>45044</v>
      </c>
      <c r="B469" s="3">
        <f>704322.03-703093.95</f>
        <v>1228.0800000000745</v>
      </c>
      <c r="C469" s="3">
        <f>903375.46-901512.31</f>
        <v>1863.1499999999069</v>
      </c>
      <c r="D469" s="1">
        <f>236555.21-236555.21</f>
        <v>0</v>
      </c>
      <c r="E469" s="3">
        <f>335501.92-334230.28</f>
        <v>1271.6399999999558</v>
      </c>
      <c r="F469" s="1">
        <f>960258.84-960258.84</f>
        <v>0</v>
      </c>
      <c r="G469" s="1">
        <f t="shared" si="43"/>
        <v>0</v>
      </c>
      <c r="H469" s="1">
        <f t="shared" si="36"/>
        <v>0</v>
      </c>
      <c r="I469" s="1"/>
      <c r="J469" s="3">
        <f t="shared" si="44"/>
        <v>4362.8699999999371</v>
      </c>
      <c r="K469" s="4">
        <f t="shared" si="39"/>
        <v>1156160.5499999833</v>
      </c>
    </row>
    <row r="470" spans="1:11" ht="18.75" x14ac:dyDescent="0.3">
      <c r="A470" s="2">
        <v>45045</v>
      </c>
      <c r="B470" s="3">
        <f>704322.03-704322.03</f>
        <v>0</v>
      </c>
      <c r="C470" s="3">
        <f>903375.46-903375.46</f>
        <v>0</v>
      </c>
      <c r="D470" s="1">
        <f>237776.78-236555.21</f>
        <v>1221.570000000007</v>
      </c>
      <c r="E470" s="3">
        <f>335501.92-335501.92</f>
        <v>0</v>
      </c>
      <c r="F470" s="1">
        <f>964060.58-960258.84</f>
        <v>3801.7399999999907</v>
      </c>
      <c r="G470" s="1">
        <f t="shared" si="43"/>
        <v>0</v>
      </c>
      <c r="H470" s="1">
        <f t="shared" si="36"/>
        <v>0</v>
      </c>
      <c r="I470" s="1"/>
      <c r="J470" s="3">
        <f t="shared" si="44"/>
        <v>5023.3099999999977</v>
      </c>
      <c r="K470" s="4">
        <f t="shared" si="39"/>
        <v>1331177.1499999994</v>
      </c>
    </row>
    <row r="471" spans="1:11" ht="18.75" x14ac:dyDescent="0.3">
      <c r="A471" s="2">
        <v>45046</v>
      </c>
      <c r="B471" s="3">
        <f>706059.85-704322.03</f>
        <v>1737.8199999999488</v>
      </c>
      <c r="C471" s="3">
        <f>905535.37-903375.46</f>
        <v>2159.9100000000326</v>
      </c>
      <c r="D471" s="1">
        <f>240358.67-237776.78</f>
        <v>2581.890000000014</v>
      </c>
      <c r="E471" s="3">
        <f>335501.92-335501.92</f>
        <v>0</v>
      </c>
      <c r="F471" s="1">
        <f>964060.58-964060.58</f>
        <v>0</v>
      </c>
      <c r="G471" s="1">
        <f t="shared" si="43"/>
        <v>0</v>
      </c>
      <c r="H471" s="1">
        <f t="shared" si="36"/>
        <v>0</v>
      </c>
      <c r="I471" s="1"/>
      <c r="J471" s="3">
        <f t="shared" si="44"/>
        <v>6479.6199999999953</v>
      </c>
      <c r="K471" s="4">
        <f t="shared" si="39"/>
        <v>1717099.2999999989</v>
      </c>
    </row>
    <row r="472" spans="1:11" ht="18.75" x14ac:dyDescent="0.3">
      <c r="A472" s="2"/>
      <c r="B472" s="3"/>
      <c r="C472" s="3"/>
      <c r="D472" s="3"/>
      <c r="E472" s="1"/>
      <c r="F472" s="1"/>
      <c r="G472" s="1"/>
      <c r="H472" s="1"/>
      <c r="I472" s="1"/>
      <c r="J472" s="6"/>
      <c r="K472" s="3"/>
    </row>
    <row r="473" spans="1:11" ht="18.75" x14ac:dyDescent="0.3">
      <c r="A473" s="5" t="s">
        <v>10</v>
      </c>
      <c r="B473" s="5" t="s">
        <v>10</v>
      </c>
      <c r="C473" s="5" t="s">
        <v>10</v>
      </c>
      <c r="D473" s="5" t="s">
        <v>10</v>
      </c>
      <c r="E473" s="5" t="s">
        <v>10</v>
      </c>
      <c r="F473" s="5" t="s">
        <v>10</v>
      </c>
      <c r="G473" s="5" t="s">
        <v>10</v>
      </c>
      <c r="H473" s="5" t="s">
        <v>10</v>
      </c>
      <c r="I473" s="5" t="s">
        <v>10</v>
      </c>
      <c r="J473" s="5" t="s">
        <v>10</v>
      </c>
      <c r="K473" s="5" t="s">
        <v>10</v>
      </c>
    </row>
    <row r="474" spans="1:11" ht="18.75" x14ac:dyDescent="0.3">
      <c r="A474" s="6" t="s">
        <v>11</v>
      </c>
      <c r="B474" s="6">
        <f t="shared" ref="B474:K474" si="45">SUM(B442:B473)</f>
        <v>8589.5499999999302</v>
      </c>
      <c r="C474" s="6">
        <f t="shared" si="45"/>
        <v>31677.680000000051</v>
      </c>
      <c r="D474" s="6">
        <f t="shared" si="45"/>
        <v>21185.900000000023</v>
      </c>
      <c r="E474" s="6">
        <f t="shared" si="45"/>
        <v>5006.5999999999767</v>
      </c>
      <c r="F474" s="6">
        <f t="shared" si="45"/>
        <v>29031.29999999993</v>
      </c>
      <c r="G474" s="6">
        <f t="shared" si="45"/>
        <v>6942.4099999999162</v>
      </c>
      <c r="H474" s="6">
        <f t="shared" si="45"/>
        <v>0</v>
      </c>
      <c r="I474" s="6">
        <f t="shared" si="45"/>
        <v>0</v>
      </c>
      <c r="J474" s="6">
        <f t="shared" si="45"/>
        <v>102433.43999999983</v>
      </c>
      <c r="K474" s="6">
        <f t="shared" si="45"/>
        <v>27144861.599999957</v>
      </c>
    </row>
    <row r="475" spans="1:11" ht="18.75" x14ac:dyDescent="0.3">
      <c r="A475" s="5" t="s">
        <v>10</v>
      </c>
      <c r="B475" s="5" t="s">
        <v>12</v>
      </c>
      <c r="C475" s="5" t="s">
        <v>12</v>
      </c>
      <c r="D475" s="5" t="s">
        <v>12</v>
      </c>
      <c r="E475" s="5" t="s">
        <v>12</v>
      </c>
      <c r="F475" s="5" t="s">
        <v>12</v>
      </c>
      <c r="G475" s="5" t="s">
        <v>12</v>
      </c>
      <c r="H475" s="5" t="s">
        <v>12</v>
      </c>
      <c r="I475" s="5" t="s">
        <v>12</v>
      </c>
      <c r="J475" s="5" t="s">
        <v>12</v>
      </c>
      <c r="K475" s="5" t="s">
        <v>13</v>
      </c>
    </row>
    <row r="476" spans="1:11" ht="18.75" x14ac:dyDescent="0.3">
      <c r="A476" s="6" t="s">
        <v>14</v>
      </c>
      <c r="B476" s="6">
        <f>29050+15600</f>
        <v>44650</v>
      </c>
      <c r="C476" s="6">
        <v>0</v>
      </c>
      <c r="D476" s="6">
        <f>17950+13500</f>
        <v>31450</v>
      </c>
      <c r="E476" s="6"/>
      <c r="F476" s="7">
        <f>27000+15300</f>
        <v>42300</v>
      </c>
      <c r="G476" s="6">
        <v>0</v>
      </c>
      <c r="H476" s="6">
        <v>0</v>
      </c>
      <c r="I476" s="6">
        <v>0</v>
      </c>
      <c r="J476" s="6">
        <f>SUM(B476:I476)</f>
        <v>118400</v>
      </c>
      <c r="K476" s="8">
        <f>J476*238.24</f>
        <v>28207616</v>
      </c>
    </row>
    <row r="477" spans="1:11" ht="18.75" x14ac:dyDescent="0.3">
      <c r="A477" s="6" t="s">
        <v>14</v>
      </c>
      <c r="B477" s="6">
        <f>B476-B474-C474+167</f>
        <v>4549.7700000000186</v>
      </c>
      <c r="C477" s="6">
        <v>0</v>
      </c>
      <c r="D477" s="6">
        <f>D476-D474-E474-258</f>
        <v>4999.5</v>
      </c>
      <c r="E477" s="6"/>
      <c r="F477" s="7">
        <f>F476-F474-G474-H474-I474-126</f>
        <v>6200.2900000001537</v>
      </c>
      <c r="G477" s="6">
        <v>0</v>
      </c>
      <c r="H477" s="6">
        <f>H476</f>
        <v>0</v>
      </c>
      <c r="I477" s="6">
        <v>0</v>
      </c>
      <c r="J477" s="6">
        <f>SUM(B477:I477)</f>
        <v>15749.560000000172</v>
      </c>
      <c r="K477" s="8">
        <f>J477*220.95</f>
        <v>3479865.2820000378</v>
      </c>
    </row>
    <row r="478" spans="1:11" ht="18.75" x14ac:dyDescent="0.3">
      <c r="A478" s="6"/>
      <c r="B478" s="6">
        <v>0</v>
      </c>
      <c r="C478" s="6">
        <v>0</v>
      </c>
      <c r="D478" s="6">
        <v>0</v>
      </c>
      <c r="E478" s="6"/>
      <c r="F478" s="6">
        <v>0</v>
      </c>
      <c r="G478" s="6">
        <v>0</v>
      </c>
      <c r="H478" s="6"/>
      <c r="I478" s="6">
        <v>0</v>
      </c>
      <c r="J478" s="6">
        <v>0</v>
      </c>
      <c r="K478" s="5" t="s">
        <v>15</v>
      </c>
    </row>
    <row r="479" spans="1:11" ht="18.75" x14ac:dyDescent="0.3">
      <c r="A479" s="6" t="s">
        <v>16</v>
      </c>
      <c r="B479" s="6">
        <f>B477+B474+C474+D474+E474-B476</f>
        <v>26359.5</v>
      </c>
      <c r="C479" s="6">
        <v>0</v>
      </c>
      <c r="D479" s="6">
        <v>0</v>
      </c>
      <c r="E479" s="9">
        <f>D479/10</f>
        <v>0</v>
      </c>
      <c r="F479" s="6">
        <f>F477+F474+G474+H474+I474-F476</f>
        <v>-126</v>
      </c>
      <c r="G479" s="6">
        <v>0</v>
      </c>
      <c r="H479" s="6">
        <v>0</v>
      </c>
      <c r="I479" s="6">
        <v>0</v>
      </c>
      <c r="J479" s="6">
        <f>SUM(B479:I479)</f>
        <v>26233.5</v>
      </c>
      <c r="K479" s="6"/>
    </row>
    <row r="480" spans="1:11" ht="18.75" x14ac:dyDescent="0.3">
      <c r="A480" s="6">
        <v>0</v>
      </c>
      <c r="B480" s="6">
        <v>0</v>
      </c>
      <c r="C480" s="6">
        <v>0</v>
      </c>
      <c r="D480" s="6">
        <v>0</v>
      </c>
      <c r="E480" s="6"/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</row>
    <row r="481" spans="1:11" ht="18.75" x14ac:dyDescent="0.3">
      <c r="A481" s="6">
        <v>0</v>
      </c>
      <c r="B481" s="6">
        <f>B476-B477</f>
        <v>40100.229999999981</v>
      </c>
      <c r="C481" s="6">
        <v>0</v>
      </c>
      <c r="D481" s="6">
        <v>0</v>
      </c>
      <c r="E481" s="6"/>
      <c r="F481" s="6">
        <f>F476-F477</f>
        <v>36099.709999999846</v>
      </c>
      <c r="G481" s="6">
        <v>0</v>
      </c>
      <c r="H481" s="6">
        <v>0</v>
      </c>
      <c r="I481" s="6">
        <f>I476-I477</f>
        <v>0</v>
      </c>
      <c r="J481" s="6">
        <f>J476-J477</f>
        <v>102650.43999999983</v>
      </c>
      <c r="K481" s="10">
        <v>0</v>
      </c>
    </row>
    <row r="482" spans="1:11" ht="18.75" x14ac:dyDescent="0.3">
      <c r="A482" s="6">
        <v>0</v>
      </c>
      <c r="B482" s="6">
        <f>B481/20*0.2</f>
        <v>401.00229999999988</v>
      </c>
      <c r="C482" s="6">
        <v>0</v>
      </c>
      <c r="D482" s="6">
        <v>0</v>
      </c>
      <c r="E482" s="6"/>
      <c r="F482" s="6">
        <f>F481/20*0.2</f>
        <v>360.99709999999845</v>
      </c>
      <c r="G482" s="6">
        <v>0</v>
      </c>
      <c r="H482" s="6">
        <v>0</v>
      </c>
      <c r="I482" s="6">
        <f>I481/20*0.6</f>
        <v>0</v>
      </c>
      <c r="J482" s="6">
        <f>J481/20*0.6</f>
        <v>3079.5131999999949</v>
      </c>
      <c r="K482" s="11">
        <v>0</v>
      </c>
    </row>
    <row r="483" spans="1:11" ht="18.75" x14ac:dyDescent="0.3">
      <c r="A483" s="6">
        <v>0</v>
      </c>
      <c r="B483" s="6">
        <f>B479-B482</f>
        <v>25958.4977</v>
      </c>
      <c r="C483" s="6">
        <v>0</v>
      </c>
      <c r="D483" s="6">
        <v>0</v>
      </c>
      <c r="E483" s="6">
        <v>0</v>
      </c>
      <c r="F483" s="6">
        <f>F479-F482</f>
        <v>-486.99709999999845</v>
      </c>
      <c r="G483" s="6">
        <v>0</v>
      </c>
      <c r="H483" s="6">
        <v>0</v>
      </c>
      <c r="I483" s="6">
        <f>I479-I482</f>
        <v>0</v>
      </c>
      <c r="J483" s="6">
        <f>J479-J482</f>
        <v>23153.986800000006</v>
      </c>
      <c r="K483" s="6" t="s">
        <v>18</v>
      </c>
    </row>
    <row r="484" spans="1:11" ht="18.75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ht="18.75" x14ac:dyDescent="0.3">
      <c r="A485" s="6">
        <v>0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10">
        <v>0</v>
      </c>
      <c r="I485" s="6">
        <f>I480-I483</f>
        <v>0</v>
      </c>
      <c r="J485" s="6">
        <v>0</v>
      </c>
      <c r="K485" s="6"/>
    </row>
    <row r="486" spans="1:11" ht="18.75" x14ac:dyDescent="0.3">
      <c r="A486" s="6"/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f>I481-I485</f>
        <v>0</v>
      </c>
      <c r="J486" s="6">
        <v>0</v>
      </c>
      <c r="K486" s="10">
        <v>0</v>
      </c>
    </row>
    <row r="487" spans="1:11" ht="18.75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ht="18.75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ht="18.75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ht="18.75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ht="18.75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9"/>
      <c r="K491" s="6"/>
    </row>
    <row r="492" spans="1:11" ht="18.75" x14ac:dyDescent="0.3">
      <c r="A492" s="6"/>
      <c r="B492" s="12"/>
      <c r="C492" s="12"/>
      <c r="D492" s="12"/>
      <c r="E492" s="12"/>
      <c r="F492" s="12"/>
      <c r="G492" s="12"/>
      <c r="H492" s="12"/>
      <c r="I492" s="12"/>
      <c r="J492" s="9"/>
      <c r="K492" s="6"/>
    </row>
    <row r="493" spans="1:11" ht="18.75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9"/>
      <c r="K493" s="6"/>
    </row>
    <row r="494" spans="1:11" ht="18.75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9"/>
      <c r="K494" s="6"/>
    </row>
    <row r="495" spans="1:11" ht="18.75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9"/>
      <c r="K495" s="6"/>
    </row>
    <row r="496" spans="1:11" ht="18.75" x14ac:dyDescent="0.3">
      <c r="A496" s="6"/>
      <c r="B496" s="12"/>
      <c r="C496" s="12"/>
      <c r="D496" s="6"/>
      <c r="E496" s="12"/>
      <c r="F496" s="12"/>
      <c r="G496" s="12"/>
      <c r="H496" s="6"/>
      <c r="I496" s="6"/>
      <c r="J496" s="9"/>
      <c r="K496" s="6"/>
    </row>
    <row r="497" spans="1:11" ht="18.75" x14ac:dyDescent="0.3">
      <c r="A497" s="6"/>
      <c r="B497" s="12"/>
      <c r="C497" s="12"/>
      <c r="D497" s="12"/>
      <c r="E497" s="12"/>
      <c r="F497" s="12"/>
      <c r="G497" s="6"/>
      <c r="H497" s="6"/>
      <c r="I497" s="6"/>
      <c r="J497" s="9"/>
      <c r="K497" s="6"/>
    </row>
    <row r="498" spans="1:11" ht="18.75" x14ac:dyDescent="0.3">
      <c r="A498" s="12"/>
      <c r="B498" s="12"/>
      <c r="C498" s="12"/>
      <c r="D498" s="6"/>
      <c r="E498" s="6"/>
      <c r="F498" s="6"/>
      <c r="G498" s="6"/>
      <c r="H498" s="6"/>
      <c r="I498" s="6"/>
      <c r="J498" s="9"/>
      <c r="K498" s="6"/>
    </row>
    <row r="499" spans="1:11" ht="18.75" x14ac:dyDescent="0.3">
      <c r="A499" s="12"/>
      <c r="B499" s="12"/>
      <c r="C499" s="12"/>
      <c r="D499" s="6"/>
      <c r="E499" s="6"/>
      <c r="F499" s="6"/>
      <c r="G499" s="6"/>
      <c r="H499" s="6"/>
      <c r="I499" s="6"/>
      <c r="J499" s="6"/>
      <c r="K499" s="6"/>
    </row>
    <row r="500" spans="1:11" ht="18.75" x14ac:dyDescent="0.3">
      <c r="A500" s="12"/>
      <c r="B500" s="12"/>
      <c r="C500" s="6"/>
      <c r="D500" s="6"/>
      <c r="E500" s="6"/>
      <c r="F500" s="6"/>
      <c r="G500" s="6"/>
      <c r="H500" s="6"/>
      <c r="I500" s="6"/>
      <c r="J500" s="6"/>
      <c r="K500" s="6"/>
    </row>
    <row r="501" spans="1:11" ht="18.75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ht="18.75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ht="18.75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ht="18.75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ht="18.75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ht="18.75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ht="18.75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ht="18.75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ht="18.75" x14ac:dyDescent="0.3">
      <c r="A509" s="12"/>
      <c r="B509" s="12"/>
      <c r="C509" s="6"/>
      <c r="D509" s="6"/>
      <c r="E509" s="6"/>
      <c r="F509" s="6"/>
      <c r="G509" s="6"/>
      <c r="H509" s="6"/>
      <c r="I509" s="6"/>
      <c r="J509" s="6"/>
      <c r="K509" s="6"/>
    </row>
    <row r="510" spans="1:11" ht="18.75" x14ac:dyDescent="0.3">
      <c r="A510" s="12"/>
      <c r="B510" s="12"/>
      <c r="C510" s="6"/>
      <c r="D510" s="6"/>
      <c r="E510" s="6"/>
      <c r="F510" s="6"/>
      <c r="G510" s="6"/>
      <c r="H510" s="6"/>
      <c r="I510" s="6"/>
      <c r="J510" s="6"/>
      <c r="K510" s="6"/>
    </row>
    <row r="511" spans="1:11" ht="18.75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ht="18.75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ht="18.75" x14ac:dyDescent="0.3">
      <c r="A513" s="6"/>
      <c r="B513" s="6"/>
      <c r="C513" s="12"/>
      <c r="D513" s="12"/>
      <c r="E513" s="6"/>
      <c r="F513" s="6"/>
      <c r="G513" s="6"/>
      <c r="H513" s="6"/>
      <c r="I513" s="6"/>
      <c r="J513" s="6"/>
      <c r="K513" s="6"/>
    </row>
    <row r="514" spans="1:11" ht="18.75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ht="18.75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ht="18.75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ht="18.75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ht="18.75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ht="18.75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ht="18.75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ht="18.75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ht="18.75" x14ac:dyDescent="0.3">
      <c r="A522" s="6"/>
      <c r="B522" s="12"/>
      <c r="C522" s="12"/>
      <c r="D522" s="12"/>
      <c r="E522" s="12"/>
      <c r="F522" s="12"/>
      <c r="G522" s="6"/>
      <c r="H522" s="12"/>
      <c r="I522" s="6"/>
      <c r="J522" s="6"/>
      <c r="K522" s="6"/>
    </row>
    <row r="523" spans="1:11" ht="18.75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ht="18.75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ht="18.75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ht="18.75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ht="18.75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ht="18.75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ht="18.75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ht="18.75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ht="18.75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ht="18.75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ht="18.75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ht="18.75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ht="18.75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ht="18.75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ht="18.75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ht="18.75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ht="18.75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ht="18.75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ht="18.75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ht="18.75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ht="18.75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ht="18.75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ht="18.75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ht="18.75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ht="18.75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ht="18.75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ht="18.75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ht="18.75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ht="18.75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ht="18.7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8.7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8.75" x14ac:dyDescent="0.3">
      <c r="A554" s="6"/>
      <c r="B554" s="7"/>
      <c r="C554" s="1"/>
      <c r="D554" s="1"/>
      <c r="E554" s="1"/>
      <c r="F554" s="1"/>
      <c r="G554" s="1"/>
      <c r="H554" s="1"/>
      <c r="I554" s="1"/>
      <c r="J554" s="6"/>
      <c r="K554" s="1"/>
    </row>
    <row r="555" spans="1:11" ht="18.75" x14ac:dyDescent="0.3">
      <c r="A555" s="6"/>
      <c r="B555" s="7"/>
      <c r="C555" s="1"/>
      <c r="D555" s="1"/>
      <c r="E555" s="1"/>
      <c r="F555" s="1"/>
      <c r="G555" s="1"/>
      <c r="H555" s="1"/>
      <c r="I555" s="1"/>
      <c r="J555" s="6"/>
      <c r="K555" s="1"/>
    </row>
    <row r="556" spans="1:11" ht="18.75" x14ac:dyDescent="0.3">
      <c r="A556" s="6"/>
      <c r="B556" s="7"/>
      <c r="C556" s="1"/>
      <c r="D556" s="1"/>
      <c r="E556" s="1"/>
      <c r="F556" s="1"/>
      <c r="G556" s="1"/>
      <c r="H556" s="1"/>
      <c r="I556" s="1"/>
      <c r="J556" s="6"/>
      <c r="K556" s="1"/>
    </row>
    <row r="557" spans="1:11" ht="18.75" x14ac:dyDescent="0.3">
      <c r="A557" s="6"/>
      <c r="B557" s="7"/>
      <c r="C557" s="1"/>
      <c r="D557" s="1"/>
      <c r="E557" s="1"/>
      <c r="F557" s="1"/>
      <c r="G557" s="1"/>
      <c r="H557" s="1"/>
      <c r="I557" s="1"/>
      <c r="J557" s="6"/>
      <c r="K557" s="1"/>
    </row>
    <row r="558" spans="1:11" ht="18.75" x14ac:dyDescent="0.3">
      <c r="A558" s="6"/>
      <c r="B558" s="7"/>
      <c r="C558" s="1"/>
      <c r="D558" s="1"/>
      <c r="E558" s="1"/>
      <c r="F558" s="1"/>
      <c r="G558" s="1"/>
      <c r="H558" s="1"/>
      <c r="I558" s="1"/>
      <c r="J558" s="6"/>
      <c r="K558" s="1"/>
    </row>
    <row r="559" spans="1:11" ht="18.75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ht="18.75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ht="18.7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8.7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8.75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ht="18.75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ht="18.75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ht="18.75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ht="18.75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ht="18.75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ht="18.75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ht="18.75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ht="18.75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ht="18.75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ht="18.75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ht="18.75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ht="18.75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ht="18.75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ht="18.75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ht="18.75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ht="18.75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ht="18.75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ht="18.75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ht="18.75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ht="18.75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ht="18.75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ht="18.75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ht="18.75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ht="18.75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ht="18.75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ht="18.75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ht="18.75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ht="18.75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ht="18.75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ht="18.75" x14ac:dyDescent="0.3">
      <c r="A593" s="1" t="s">
        <v>19</v>
      </c>
      <c r="B593" s="1"/>
      <c r="C593" s="6"/>
      <c r="D593" s="6"/>
      <c r="E593" s="6"/>
      <c r="F593" s="6"/>
      <c r="G593" s="6"/>
      <c r="H593" s="6"/>
      <c r="I593" s="6"/>
      <c r="J593" s="6"/>
      <c r="K593" s="6"/>
    </row>
    <row r="594" spans="1:11" ht="18.7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8.7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 t="s">
        <v>0</v>
      </c>
      <c r="K595" s="1" t="s">
        <v>20</v>
      </c>
    </row>
    <row r="596" spans="1:11" ht="18.75" x14ac:dyDescent="0.3">
      <c r="A596" s="1"/>
      <c r="B596" s="1" t="s">
        <v>2</v>
      </c>
      <c r="C596" s="1" t="s">
        <v>3</v>
      </c>
      <c r="D596" s="1" t="s">
        <v>4</v>
      </c>
      <c r="E596" s="1" t="s">
        <v>5</v>
      </c>
      <c r="F596" s="1" t="s">
        <v>6</v>
      </c>
      <c r="G596" s="1" t="s">
        <v>7</v>
      </c>
      <c r="H596" s="1" t="s">
        <v>8</v>
      </c>
      <c r="I596" s="1" t="s">
        <v>9</v>
      </c>
      <c r="J596" s="1" t="s">
        <v>1</v>
      </c>
      <c r="K596" s="1" t="s">
        <v>1</v>
      </c>
    </row>
    <row r="597" spans="1:11" ht="18.75" x14ac:dyDescent="0.3">
      <c r="A597" s="2">
        <v>45047</v>
      </c>
      <c r="B597" s="3">
        <f>706059.85-706059.85</f>
        <v>0</v>
      </c>
      <c r="C597" s="3">
        <f>906126.78-905535.37</f>
        <v>591.4100000000326</v>
      </c>
      <c r="D597" s="1">
        <f>242159.49-240358.67</f>
        <v>1800.8199999999779</v>
      </c>
      <c r="E597" s="3">
        <f>335501.92-335501.92</f>
        <v>0</v>
      </c>
      <c r="F597" s="1">
        <f>965992.37-964060.58</f>
        <v>1931.7900000000373</v>
      </c>
      <c r="G597" s="1">
        <f>556459.66-556181.72</f>
        <v>277.94000000006054</v>
      </c>
      <c r="H597" s="1">
        <f t="shared" ref="H597:H627" si="46">1081662-1081662</f>
        <v>0</v>
      </c>
      <c r="I597" s="1"/>
      <c r="J597" s="3">
        <f t="shared" ref="J597" si="47">SUM(B597:I597)</f>
        <v>4601.9600000001083</v>
      </c>
      <c r="K597" s="4">
        <f>J597*230</f>
        <v>1058450.800000025</v>
      </c>
    </row>
    <row r="598" spans="1:11" ht="18.75" x14ac:dyDescent="0.3">
      <c r="A598" s="2">
        <v>45048</v>
      </c>
      <c r="B598" s="3">
        <f>706059.85-706059.85</f>
        <v>0</v>
      </c>
      <c r="C598" s="3">
        <f>907488.11-906126.78</f>
        <v>1361.3299999999581</v>
      </c>
      <c r="D598" s="1">
        <f>242159.49-242159.49</f>
        <v>0</v>
      </c>
      <c r="E598" s="3">
        <f>337558.4-335501.92</f>
        <v>2056.4800000000396</v>
      </c>
      <c r="F598" s="1">
        <f>967273.21-965992.37</f>
        <v>1280.8399999999674</v>
      </c>
      <c r="G598" s="1">
        <f t="shared" ref="G598:G604" si="48">556459.66-556459.66</f>
        <v>0</v>
      </c>
      <c r="H598" s="1">
        <f t="shared" si="46"/>
        <v>0</v>
      </c>
      <c r="I598" s="1"/>
      <c r="J598" s="3">
        <f t="shared" ref="J598" si="49">SUM(B598:I598)</f>
        <v>4698.6499999999651</v>
      </c>
      <c r="K598" s="4">
        <f t="shared" ref="K598:K627" si="50">J598*230</f>
        <v>1080689.4999999921</v>
      </c>
    </row>
    <row r="599" spans="1:11" ht="18.75" x14ac:dyDescent="0.3">
      <c r="A599" s="2">
        <v>45049</v>
      </c>
      <c r="B599" s="3">
        <f>706059.96-706059.85</f>
        <v>0.10999999998603016</v>
      </c>
      <c r="C599" s="3">
        <f>908535.78-907488.11</f>
        <v>1047.6700000000419</v>
      </c>
      <c r="D599" s="1">
        <f>242159.49-242159.49</f>
        <v>0</v>
      </c>
      <c r="E599" s="3">
        <f>338487.06-337558.4</f>
        <v>928.65999999997439</v>
      </c>
      <c r="F599" s="1">
        <f>967800.26-967273.21</f>
        <v>527.05000000004657</v>
      </c>
      <c r="G599" s="1">
        <f t="shared" si="48"/>
        <v>0</v>
      </c>
      <c r="H599" s="1">
        <f t="shared" si="46"/>
        <v>0</v>
      </c>
      <c r="I599" s="1"/>
      <c r="J599" s="3">
        <f t="shared" ref="J599:J604" si="51">SUM(B599:I599)</f>
        <v>2503.4900000000489</v>
      </c>
      <c r="K599" s="4">
        <f t="shared" si="50"/>
        <v>575802.70000001125</v>
      </c>
    </row>
    <row r="600" spans="1:11" ht="18.75" x14ac:dyDescent="0.3">
      <c r="A600" s="2">
        <v>45050</v>
      </c>
      <c r="B600" s="3">
        <f>706968.43-706059.96</f>
        <v>908.47000000008848</v>
      </c>
      <c r="C600" s="3">
        <f>909275.89-908535.78</f>
        <v>740.10999999998603</v>
      </c>
      <c r="D600" s="1">
        <f>242627.62-242159.49</f>
        <v>468.13000000000466</v>
      </c>
      <c r="E600" s="3">
        <f>338487.06-338487.06</f>
        <v>0</v>
      </c>
      <c r="F600" s="1">
        <f>968498.48-967800.26</f>
        <v>698.21999999997206</v>
      </c>
      <c r="G600" s="1">
        <f t="shared" si="48"/>
        <v>0</v>
      </c>
      <c r="H600" s="1">
        <f t="shared" si="46"/>
        <v>0</v>
      </c>
      <c r="I600" s="1"/>
      <c r="J600" s="3">
        <f t="shared" si="51"/>
        <v>2814.9300000000512</v>
      </c>
      <c r="K600" s="4">
        <f t="shared" si="50"/>
        <v>647433.90000001178</v>
      </c>
    </row>
    <row r="601" spans="1:11" ht="18.75" x14ac:dyDescent="0.3">
      <c r="A601" s="2">
        <v>45051</v>
      </c>
      <c r="B601" s="3">
        <f t="shared" ref="B601:B608" si="52">706968.43-706968.43</f>
        <v>0</v>
      </c>
      <c r="C601" s="3">
        <f>910539.21-909275.89</f>
        <v>1263.3199999999488</v>
      </c>
      <c r="D601" s="1">
        <f>244737.5-242627.62</f>
        <v>2109.8800000000047</v>
      </c>
      <c r="E601" s="3">
        <f>338487.06-338487.06</f>
        <v>0</v>
      </c>
      <c r="F601" s="1">
        <f>969438.22-968498.48</f>
        <v>939.73999999999069</v>
      </c>
      <c r="G601" s="1">
        <f t="shared" si="48"/>
        <v>0</v>
      </c>
      <c r="H601" s="1">
        <f t="shared" si="46"/>
        <v>0</v>
      </c>
      <c r="I601" s="1"/>
      <c r="J601" s="3">
        <f t="shared" si="51"/>
        <v>4312.9399999999441</v>
      </c>
      <c r="K601" s="4">
        <f t="shared" si="50"/>
        <v>991976.19999998715</v>
      </c>
    </row>
    <row r="602" spans="1:11" ht="18.75" x14ac:dyDescent="0.3">
      <c r="A602" s="2">
        <v>45052</v>
      </c>
      <c r="B602" s="3">
        <f t="shared" si="52"/>
        <v>0</v>
      </c>
      <c r="C602" s="3">
        <f>912967.09-910539.21</f>
        <v>2427.8800000000047</v>
      </c>
      <c r="D602" s="1">
        <f>246896.41-244737.5</f>
        <v>2158.9100000000035</v>
      </c>
      <c r="E602" s="3">
        <f>338487.06-338487.06</f>
        <v>0</v>
      </c>
      <c r="F602" s="1">
        <f>969752.98-969438.22</f>
        <v>314.76000000000931</v>
      </c>
      <c r="G602" s="1">
        <f t="shared" si="48"/>
        <v>0</v>
      </c>
      <c r="H602" s="1">
        <f t="shared" si="46"/>
        <v>0</v>
      </c>
      <c r="I602" s="1"/>
      <c r="J602" s="3">
        <f t="shared" si="51"/>
        <v>4901.5500000000175</v>
      </c>
      <c r="K602" s="4">
        <f t="shared" si="50"/>
        <v>1127356.500000004</v>
      </c>
    </row>
    <row r="603" spans="1:11" ht="18.75" x14ac:dyDescent="0.3">
      <c r="A603" s="2">
        <v>45053</v>
      </c>
      <c r="B603" s="3">
        <f t="shared" si="52"/>
        <v>0</v>
      </c>
      <c r="C603" s="3">
        <f>914783.93-912967.09</f>
        <v>1816.8400000000838</v>
      </c>
      <c r="D603" s="1">
        <f>247068.21-246896.41</f>
        <v>171.79999999998836</v>
      </c>
      <c r="E603" s="3">
        <f>339865.42-338487.06</f>
        <v>1378.359999999986</v>
      </c>
      <c r="F603" s="1">
        <f>971595.68-969752.98</f>
        <v>1842.7000000000698</v>
      </c>
      <c r="G603" s="1">
        <f t="shared" si="48"/>
        <v>0</v>
      </c>
      <c r="H603" s="1">
        <f t="shared" si="46"/>
        <v>0</v>
      </c>
      <c r="I603" s="1"/>
      <c r="J603" s="3">
        <f t="shared" si="51"/>
        <v>5209.7000000001281</v>
      </c>
      <c r="K603" s="4">
        <f t="shared" si="50"/>
        <v>1198231.0000000293</v>
      </c>
    </row>
    <row r="604" spans="1:11" ht="18.75" x14ac:dyDescent="0.3">
      <c r="A604" s="2">
        <v>45054</v>
      </c>
      <c r="B604" s="3">
        <f t="shared" si="52"/>
        <v>0</v>
      </c>
      <c r="C604" s="3">
        <f>916493.64-914783.93</f>
        <v>1709.7099999999627</v>
      </c>
      <c r="D604" s="1">
        <f>249912.46-247068.21</f>
        <v>2844.25</v>
      </c>
      <c r="E604" s="3">
        <f>339865.42-339865.42</f>
        <v>0</v>
      </c>
      <c r="F604" s="1">
        <f>973134.87-971595.68</f>
        <v>1539.1899999999441</v>
      </c>
      <c r="G604" s="1">
        <f t="shared" si="48"/>
        <v>0</v>
      </c>
      <c r="H604" s="1">
        <f t="shared" si="46"/>
        <v>0</v>
      </c>
      <c r="I604" s="1"/>
      <c r="J604" s="3">
        <f t="shared" si="51"/>
        <v>6093.1499999999069</v>
      </c>
      <c r="K604" s="4">
        <f t="shared" si="50"/>
        <v>1401424.4999999786</v>
      </c>
    </row>
    <row r="605" spans="1:11" ht="18.75" x14ac:dyDescent="0.3">
      <c r="A605" s="2">
        <v>45055</v>
      </c>
      <c r="B605" s="3">
        <f t="shared" si="52"/>
        <v>0</v>
      </c>
      <c r="C605" s="3">
        <f>917916.29-916493.64</f>
        <v>1422.6500000000233</v>
      </c>
      <c r="D605" s="1">
        <f>249913.03-249912.46</f>
        <v>0.57000000000698492</v>
      </c>
      <c r="E605" s="3">
        <f>340386.2-339865.42</f>
        <v>520.78000000002794</v>
      </c>
      <c r="F605" s="1">
        <f>975306.39-973134.87</f>
        <v>2171.5200000000186</v>
      </c>
      <c r="G605" s="1">
        <f>559694.61-556459.66</f>
        <v>3234.9499999999534</v>
      </c>
      <c r="H605" s="1">
        <f t="shared" si="46"/>
        <v>0</v>
      </c>
      <c r="I605" s="1"/>
      <c r="J605" s="3">
        <f t="shared" ref="J605" si="53">SUM(B605:I605)</f>
        <v>7350.4700000000303</v>
      </c>
      <c r="K605" s="4">
        <f t="shared" si="50"/>
        <v>1690608.1000000071</v>
      </c>
    </row>
    <row r="606" spans="1:11" ht="18.75" x14ac:dyDescent="0.3">
      <c r="A606" s="2">
        <v>45056</v>
      </c>
      <c r="B606" s="3">
        <f t="shared" si="52"/>
        <v>0</v>
      </c>
      <c r="C606" s="3">
        <f>919605.6-917916.29</f>
        <v>1689.3099999999395</v>
      </c>
      <c r="D606" s="1">
        <f>251123.89-249913.03</f>
        <v>1210.8600000000151</v>
      </c>
      <c r="E606" s="3">
        <f>340386.2-340386.2</f>
        <v>0</v>
      </c>
      <c r="F606" s="1">
        <f>976536-975306.39</f>
        <v>1229.609999999986</v>
      </c>
      <c r="G606" s="1">
        <f>561070.7-559694.61</f>
        <v>1376.0899999999674</v>
      </c>
      <c r="H606" s="1">
        <f t="shared" si="46"/>
        <v>0</v>
      </c>
      <c r="I606" s="1"/>
      <c r="J606" s="3">
        <f t="shared" ref="J606:J627" si="54">SUM(B606:I606)</f>
        <v>5505.869999999908</v>
      </c>
      <c r="K606" s="4">
        <f t="shared" si="50"/>
        <v>1266350.0999999789</v>
      </c>
    </row>
    <row r="607" spans="1:11" ht="18.75" x14ac:dyDescent="0.3">
      <c r="A607" s="2">
        <v>45057</v>
      </c>
      <c r="B607" s="3">
        <f t="shared" si="52"/>
        <v>0</v>
      </c>
      <c r="C607" s="3">
        <f>921534.21-919605.6</f>
        <v>1928.609999999986</v>
      </c>
      <c r="D607" s="1">
        <f>251123.89-251123.89</f>
        <v>0</v>
      </c>
      <c r="E607" s="3">
        <f>340386.2-340386.2</f>
        <v>0</v>
      </c>
      <c r="F607" s="1">
        <f>978015.33-976536</f>
        <v>1479.3299999999581</v>
      </c>
      <c r="G607" s="1">
        <f>561929.04-561070.7</f>
        <v>858.34000000008382</v>
      </c>
      <c r="H607" s="1">
        <f t="shared" si="46"/>
        <v>0</v>
      </c>
      <c r="I607" s="1"/>
      <c r="J607" s="3">
        <f t="shared" si="54"/>
        <v>4266.2800000000279</v>
      </c>
      <c r="K607" s="4">
        <f t="shared" si="50"/>
        <v>981244.40000000643</v>
      </c>
    </row>
    <row r="608" spans="1:11" ht="18.75" x14ac:dyDescent="0.3">
      <c r="A608" s="2">
        <v>45058</v>
      </c>
      <c r="B608" s="3">
        <f t="shared" si="52"/>
        <v>0</v>
      </c>
      <c r="C608" s="3">
        <f>921534.21-921534.21</f>
        <v>0</v>
      </c>
      <c r="D608" s="1">
        <f>254223.92-251123.89</f>
        <v>3100.0299999999988</v>
      </c>
      <c r="E608" s="3">
        <f>340386.2-340386.2</f>
        <v>0</v>
      </c>
      <c r="F608" s="1">
        <f>978015.33-978015.33</f>
        <v>0</v>
      </c>
      <c r="G608" s="1">
        <f>564335.69-561929.04</f>
        <v>2406.6499999999069</v>
      </c>
      <c r="H608" s="1">
        <f t="shared" si="46"/>
        <v>0</v>
      </c>
      <c r="I608" s="1"/>
      <c r="J608" s="3">
        <f t="shared" si="54"/>
        <v>5506.6799999999057</v>
      </c>
      <c r="K608" s="4">
        <f t="shared" si="50"/>
        <v>1266536.3999999783</v>
      </c>
    </row>
    <row r="609" spans="1:11" ht="18.75" x14ac:dyDescent="0.3">
      <c r="A609" s="2">
        <v>45059</v>
      </c>
      <c r="B609" s="3">
        <f>709110.58-706968.43</f>
        <v>2142.1499999999069</v>
      </c>
      <c r="C609" s="3">
        <f>923330.69-921534.21</f>
        <v>1796.4799999999814</v>
      </c>
      <c r="D609" s="1">
        <f>255944.24-254223.92</f>
        <v>1720.3199999999779</v>
      </c>
      <c r="E609" s="3">
        <f>340386.2-340386.2</f>
        <v>0</v>
      </c>
      <c r="F609" s="1">
        <f>978015.33-978015.33</f>
        <v>0</v>
      </c>
      <c r="G609" s="1">
        <f>565646.79-564335.69</f>
        <v>1311.1000000000931</v>
      </c>
      <c r="H609" s="1">
        <f t="shared" si="46"/>
        <v>0</v>
      </c>
      <c r="I609" s="1"/>
      <c r="J609" s="3">
        <f t="shared" si="54"/>
        <v>6970.0499999999593</v>
      </c>
      <c r="K609" s="4">
        <f t="shared" si="50"/>
        <v>1603111.4999999907</v>
      </c>
    </row>
    <row r="610" spans="1:11" ht="18.75" x14ac:dyDescent="0.3">
      <c r="A610" s="2">
        <v>45060</v>
      </c>
      <c r="B610" s="3">
        <f>709110.58-709110.58</f>
        <v>0</v>
      </c>
      <c r="C610" s="3">
        <f>923330.69-923330.69</f>
        <v>0</v>
      </c>
      <c r="D610" s="1">
        <f>257449.76-255944.24</f>
        <v>1505.5200000000186</v>
      </c>
      <c r="E610" s="3">
        <f>341213.47-340386.2</f>
        <v>827.26999999996042</v>
      </c>
      <c r="F610" s="1">
        <f>978015.33-978015.33</f>
        <v>0</v>
      </c>
      <c r="G610" s="1">
        <f>566538.78-565646.79</f>
        <v>891.98999999999069</v>
      </c>
      <c r="H610" s="1">
        <f t="shared" si="46"/>
        <v>0</v>
      </c>
      <c r="I610" s="1"/>
      <c r="J610" s="3">
        <f t="shared" si="54"/>
        <v>3224.7799999999697</v>
      </c>
      <c r="K610" s="4">
        <f t="shared" si="50"/>
        <v>741699.39999999304</v>
      </c>
    </row>
    <row r="611" spans="1:11" ht="18.75" x14ac:dyDescent="0.3">
      <c r="A611" s="2">
        <v>45061</v>
      </c>
      <c r="B611" s="3">
        <f>709110.58-709110.58</f>
        <v>0</v>
      </c>
      <c r="C611" s="3">
        <f>925329.29-923330.69</f>
        <v>1998.6000000000931</v>
      </c>
      <c r="D611" s="1">
        <f>257449.76-257449.76</f>
        <v>0</v>
      </c>
      <c r="E611" s="3">
        <f>341213.47-341213.47</f>
        <v>0</v>
      </c>
      <c r="F611" s="1">
        <f>979794.13-978015.33</f>
        <v>1778.8000000000466</v>
      </c>
      <c r="G611" s="1">
        <f>566538.78-566538.78</f>
        <v>0</v>
      </c>
      <c r="H611" s="1">
        <f t="shared" si="46"/>
        <v>0</v>
      </c>
      <c r="I611" s="1"/>
      <c r="J611" s="3">
        <f t="shared" si="54"/>
        <v>3777.4000000001397</v>
      </c>
      <c r="K611" s="4">
        <f t="shared" si="50"/>
        <v>868802.00000003213</v>
      </c>
    </row>
    <row r="612" spans="1:11" ht="18.75" x14ac:dyDescent="0.3">
      <c r="A612" s="2">
        <v>45062</v>
      </c>
      <c r="B612" s="3">
        <f>709110.58-709110.58</f>
        <v>0</v>
      </c>
      <c r="C612" s="3">
        <f>926418.03-925329.29</f>
        <v>1088.7399999999907</v>
      </c>
      <c r="D612" s="1">
        <f>259842.56-257449.76</f>
        <v>2392.7999999999884</v>
      </c>
      <c r="E612" s="3">
        <f>342302.55-341213.47</f>
        <v>1089.0800000000163</v>
      </c>
      <c r="F612" s="1">
        <f>979794.13-979794.13</f>
        <v>0</v>
      </c>
      <c r="G612" s="1">
        <f>566538.78-566538.78</f>
        <v>0</v>
      </c>
      <c r="H612" s="1">
        <f t="shared" si="46"/>
        <v>0</v>
      </c>
      <c r="I612" s="1"/>
      <c r="J612" s="3">
        <f t="shared" si="54"/>
        <v>4570.6199999999953</v>
      </c>
      <c r="K612" s="4">
        <f t="shared" si="50"/>
        <v>1051242.5999999989</v>
      </c>
    </row>
    <row r="613" spans="1:11" ht="18.75" x14ac:dyDescent="0.3">
      <c r="A613" s="2">
        <v>45063</v>
      </c>
      <c r="B613" s="3">
        <f>709954.37-709110.58</f>
        <v>843.79000000003725</v>
      </c>
      <c r="C613" s="3">
        <f>927459.41-926418.03</f>
        <v>1041.3800000000047</v>
      </c>
      <c r="D613" s="1">
        <f>259842.56-259842.56</f>
        <v>0</v>
      </c>
      <c r="E613" s="3">
        <f t="shared" ref="E613:E618" si="55">342302.55-342302.55</f>
        <v>0</v>
      </c>
      <c r="F613" s="1">
        <f>980516.07-979794.13</f>
        <v>721.93999999994412</v>
      </c>
      <c r="G613" s="1">
        <f>566801.83-566538.78</f>
        <v>263.04999999993015</v>
      </c>
      <c r="H613" s="1">
        <f t="shared" si="46"/>
        <v>0</v>
      </c>
      <c r="I613" s="1"/>
      <c r="J613" s="3">
        <f t="shared" si="54"/>
        <v>2870.1599999999162</v>
      </c>
      <c r="K613" s="4">
        <f t="shared" si="50"/>
        <v>660136.79999998072</v>
      </c>
    </row>
    <row r="614" spans="1:11" ht="18.75" x14ac:dyDescent="0.3">
      <c r="A614" s="2">
        <v>45064</v>
      </c>
      <c r="B614" s="3">
        <f>709954.37-709954.37</f>
        <v>0</v>
      </c>
      <c r="C614" s="3">
        <f>927459.41-927459.41</f>
        <v>0</v>
      </c>
      <c r="D614" s="1">
        <f>261744.28-259842.56</f>
        <v>1901.7200000000012</v>
      </c>
      <c r="E614" s="3">
        <f t="shared" si="55"/>
        <v>0</v>
      </c>
      <c r="F614" s="1">
        <f>980516.07-980516.07</f>
        <v>0</v>
      </c>
      <c r="G614" s="1">
        <f>569996.44-566801.83</f>
        <v>3194.609999999986</v>
      </c>
      <c r="H614" s="1">
        <f t="shared" si="46"/>
        <v>0</v>
      </c>
      <c r="I614" s="1"/>
      <c r="J614" s="3">
        <f t="shared" si="54"/>
        <v>5096.3299999999872</v>
      </c>
      <c r="K614" s="4">
        <f t="shared" si="50"/>
        <v>1172155.8999999971</v>
      </c>
    </row>
    <row r="615" spans="1:11" ht="18.75" x14ac:dyDescent="0.3">
      <c r="A615" s="2">
        <v>45065</v>
      </c>
      <c r="B615" s="3">
        <f>712242.85-709954.37</f>
        <v>2288.4799999999814</v>
      </c>
      <c r="C615" s="3">
        <f>927459.41-927459.41</f>
        <v>0</v>
      </c>
      <c r="D615" s="1">
        <f>263033.58-261744.28</f>
        <v>1289.3000000000175</v>
      </c>
      <c r="E615" s="3">
        <f t="shared" si="55"/>
        <v>0</v>
      </c>
      <c r="F615" s="1">
        <f>980516.07-980516.07</f>
        <v>0</v>
      </c>
      <c r="G615" s="1">
        <f>569996.44-569996.44</f>
        <v>0</v>
      </c>
      <c r="H615" s="1">
        <f t="shared" si="46"/>
        <v>0</v>
      </c>
      <c r="I615" s="1"/>
      <c r="J615" s="3">
        <f t="shared" si="54"/>
        <v>3577.7799999999988</v>
      </c>
      <c r="K615" s="4">
        <f t="shared" si="50"/>
        <v>822889.39999999967</v>
      </c>
    </row>
    <row r="616" spans="1:11" ht="18.75" x14ac:dyDescent="0.3">
      <c r="A616" s="2">
        <v>45066</v>
      </c>
      <c r="B616" s="3">
        <f>712242.85-712242.85</f>
        <v>0</v>
      </c>
      <c r="C616" s="3">
        <f>927459.41-927459.41</f>
        <v>0</v>
      </c>
      <c r="D616" s="1">
        <f>264100.45-263033.58</f>
        <v>1066.8699999999953</v>
      </c>
      <c r="E616" s="3">
        <f t="shared" si="55"/>
        <v>0</v>
      </c>
      <c r="F616" s="1">
        <f>981751.76-980516.07</f>
        <v>1235.6900000000605</v>
      </c>
      <c r="G616" s="1">
        <f>572225.83-569996.44</f>
        <v>2229.390000000014</v>
      </c>
      <c r="H616" s="1">
        <f t="shared" si="46"/>
        <v>0</v>
      </c>
      <c r="I616" s="1"/>
      <c r="J616" s="3">
        <f t="shared" si="54"/>
        <v>4531.9500000000698</v>
      </c>
      <c r="K616" s="4">
        <f t="shared" si="50"/>
        <v>1042348.5000000161</v>
      </c>
    </row>
    <row r="617" spans="1:11" ht="18.75" x14ac:dyDescent="0.3">
      <c r="A617" s="2">
        <v>45067</v>
      </c>
      <c r="B617" s="3">
        <f>712966.12-712242.85</f>
        <v>723.27000000001863</v>
      </c>
      <c r="C617" s="3">
        <f>928820.88-927459.41</f>
        <v>1361.4699999999721</v>
      </c>
      <c r="D617" s="1">
        <f>265531.35-264100.45</f>
        <v>1430.8999999999651</v>
      </c>
      <c r="E617" s="3">
        <f t="shared" si="55"/>
        <v>0</v>
      </c>
      <c r="F617" s="1">
        <f>981751.76-981751.76</f>
        <v>0</v>
      </c>
      <c r="G617" s="1">
        <f>572225.83-572225.83</f>
        <v>0</v>
      </c>
      <c r="H617" s="1">
        <f t="shared" si="46"/>
        <v>0</v>
      </c>
      <c r="I617" s="1"/>
      <c r="J617" s="3">
        <f t="shared" si="54"/>
        <v>3515.6399999999558</v>
      </c>
      <c r="K617" s="4">
        <f t="shared" si="50"/>
        <v>808597.19999998983</v>
      </c>
    </row>
    <row r="618" spans="1:11" ht="18.75" x14ac:dyDescent="0.3">
      <c r="A618" s="2">
        <v>45068</v>
      </c>
      <c r="B618" s="3">
        <f>712966.12-712966.12</f>
        <v>0</v>
      </c>
      <c r="C618" s="3">
        <f>930855.77-928820.88</f>
        <v>2034.890000000014</v>
      </c>
      <c r="D618" s="1">
        <f>265531.35-265531.35</f>
        <v>0</v>
      </c>
      <c r="E618" s="3">
        <f t="shared" si="55"/>
        <v>0</v>
      </c>
      <c r="F618" s="1">
        <f>984036.46-981751.76</f>
        <v>2284.6999999999534</v>
      </c>
      <c r="G618" s="1">
        <f>572225.83-572225.83</f>
        <v>0</v>
      </c>
      <c r="H618" s="1">
        <f t="shared" si="46"/>
        <v>0</v>
      </c>
      <c r="I618" s="1"/>
      <c r="J618" s="3">
        <f t="shared" si="54"/>
        <v>4319.5899999999674</v>
      </c>
      <c r="K618" s="4">
        <f t="shared" si="50"/>
        <v>993505.6999999925</v>
      </c>
    </row>
    <row r="619" spans="1:11" ht="18.75" x14ac:dyDescent="0.3">
      <c r="A619" s="2">
        <v>45069</v>
      </c>
      <c r="B619" s="3">
        <f>712966.12-712966.12</f>
        <v>0</v>
      </c>
      <c r="C619" s="3">
        <f>931939.18-930855.77</f>
        <v>1083.4100000000326</v>
      </c>
      <c r="D619" s="1">
        <f>267609.9-265531.35</f>
        <v>2078.5500000000466</v>
      </c>
      <c r="E619" s="3">
        <f>343316.71-342302.55</f>
        <v>1014.1600000000326</v>
      </c>
      <c r="F619" s="1">
        <f>984036.46-984036.46</f>
        <v>0</v>
      </c>
      <c r="G619" s="1">
        <f>572225.83-572225.83</f>
        <v>0</v>
      </c>
      <c r="H619" s="1">
        <f t="shared" si="46"/>
        <v>0</v>
      </c>
      <c r="I619" s="1"/>
      <c r="J619" s="3">
        <f t="shared" si="54"/>
        <v>4176.1200000001118</v>
      </c>
      <c r="K619" s="4">
        <f t="shared" si="50"/>
        <v>960507.6000000257</v>
      </c>
    </row>
    <row r="620" spans="1:11" ht="18.75" x14ac:dyDescent="0.3">
      <c r="A620" s="2">
        <v>45070</v>
      </c>
      <c r="B620" s="3">
        <f>713725.59-712966.12</f>
        <v>759.46999999997206</v>
      </c>
      <c r="C620" s="3">
        <f>932800.18-931939.18</f>
        <v>861</v>
      </c>
      <c r="D620" s="1">
        <f>267611.9-267609.9</f>
        <v>2</v>
      </c>
      <c r="E620" s="3">
        <f>343317.71-343316.71</f>
        <v>1</v>
      </c>
      <c r="F620" s="1">
        <f>985351.49-984036.46</f>
        <v>1315.0300000000279</v>
      </c>
      <c r="G620" s="1">
        <f>572225.83-572225.83</f>
        <v>0</v>
      </c>
      <c r="H620" s="1">
        <f t="shared" si="46"/>
        <v>0</v>
      </c>
      <c r="I620" s="1"/>
      <c r="J620" s="3">
        <f t="shared" si="54"/>
        <v>2938.5</v>
      </c>
      <c r="K620" s="4">
        <f t="shared" si="50"/>
        <v>675855</v>
      </c>
    </row>
    <row r="621" spans="1:11" ht="18.75" x14ac:dyDescent="0.3">
      <c r="A621" s="2">
        <v>45071</v>
      </c>
      <c r="B621" s="3">
        <f>714507.49-713725.59</f>
        <v>781.90000000002328</v>
      </c>
      <c r="C621" s="3">
        <f>933063.19-932800.18</f>
        <v>263.0099999998929</v>
      </c>
      <c r="D621" s="1">
        <f>267681.06-267611.9</f>
        <v>69.159999999974389</v>
      </c>
      <c r="E621" s="3">
        <f>343317.71-343316.71</f>
        <v>1</v>
      </c>
      <c r="F621" s="1">
        <f>985718.83-985351.49</f>
        <v>367.3399999999674</v>
      </c>
      <c r="G621" s="1">
        <f>573082.64-572225.83</f>
        <v>856.81000000005588</v>
      </c>
      <c r="H621" s="1">
        <f t="shared" si="46"/>
        <v>0</v>
      </c>
      <c r="I621" s="1"/>
      <c r="J621" s="3">
        <f t="shared" si="54"/>
        <v>2339.2199999999139</v>
      </c>
      <c r="K621" s="4">
        <f t="shared" si="50"/>
        <v>538020.59999998019</v>
      </c>
    </row>
    <row r="622" spans="1:11" ht="18.75" x14ac:dyDescent="0.3">
      <c r="A622" s="2">
        <v>45072</v>
      </c>
      <c r="B622" s="3">
        <f>715430.14-714507.49</f>
        <v>922.65000000002328</v>
      </c>
      <c r="C622" s="3">
        <f>934816.73-933063.19</f>
        <v>1753.5400000000373</v>
      </c>
      <c r="D622" s="1">
        <f>268432.94-267681.06</f>
        <v>751.88000000000466</v>
      </c>
      <c r="E622" s="3">
        <f>343875.79-343317.71</f>
        <v>558.07999999995809</v>
      </c>
      <c r="F622" s="1">
        <f>985718.83-985718.83</f>
        <v>0</v>
      </c>
      <c r="G622" s="1">
        <f>573082.64-573082.64</f>
        <v>0</v>
      </c>
      <c r="H622" s="1">
        <f t="shared" si="46"/>
        <v>0</v>
      </c>
      <c r="I622" s="1"/>
      <c r="J622" s="3">
        <f t="shared" si="54"/>
        <v>3986.1500000000233</v>
      </c>
      <c r="K622" s="4">
        <f t="shared" si="50"/>
        <v>916814.50000000536</v>
      </c>
    </row>
    <row r="623" spans="1:11" ht="18.75" x14ac:dyDescent="0.3">
      <c r="A623" s="2">
        <v>45073</v>
      </c>
      <c r="B623" s="3">
        <f>715430.14-715430.14</f>
        <v>0</v>
      </c>
      <c r="C623" s="3">
        <f>934816.73-934816.73</f>
        <v>0</v>
      </c>
      <c r="D623" s="1">
        <f>268432.94-268432.94</f>
        <v>0</v>
      </c>
      <c r="E623" s="3">
        <f>345090.05-343875.79</f>
        <v>1214.2600000000093</v>
      </c>
      <c r="F623" s="1">
        <f>987106.83-985718.83</f>
        <v>1388</v>
      </c>
      <c r="G623" s="1">
        <f>574227.48-573082.64</f>
        <v>1144.8399999999674</v>
      </c>
      <c r="H623" s="1">
        <f t="shared" si="46"/>
        <v>0</v>
      </c>
      <c r="I623" s="1"/>
      <c r="J623" s="3">
        <f t="shared" si="54"/>
        <v>3747.0999999999767</v>
      </c>
      <c r="K623" s="4">
        <f t="shared" si="50"/>
        <v>861832.99999999464</v>
      </c>
    </row>
    <row r="624" spans="1:11" ht="18.75" x14ac:dyDescent="0.3">
      <c r="A624" s="2">
        <v>45074</v>
      </c>
      <c r="B624" s="3">
        <f>716754.93-715430.14</f>
        <v>1324.7900000000373</v>
      </c>
      <c r="C624" s="3">
        <f>935618.76-934816.73</f>
        <v>802.03000000002794</v>
      </c>
      <c r="D624" s="1">
        <f>270183.83-268432.94</f>
        <v>1750.890000000014</v>
      </c>
      <c r="E624" s="3">
        <f>345090.05-345090.05</f>
        <v>0</v>
      </c>
      <c r="F624" s="1">
        <f>987106.83-987106.83</f>
        <v>0</v>
      </c>
      <c r="G624" s="1">
        <f>574227.48-574227.48</f>
        <v>0</v>
      </c>
      <c r="H624" s="1">
        <f t="shared" si="46"/>
        <v>0</v>
      </c>
      <c r="I624" s="1"/>
      <c r="J624" s="3">
        <f t="shared" si="54"/>
        <v>3877.7100000000792</v>
      </c>
      <c r="K624" s="4">
        <f t="shared" si="50"/>
        <v>891873.30000001821</v>
      </c>
    </row>
    <row r="625" spans="1:11" ht="18.75" x14ac:dyDescent="0.3">
      <c r="A625" s="2">
        <v>45075</v>
      </c>
      <c r="B625" s="3">
        <f>716754.93-716754.93</f>
        <v>0</v>
      </c>
      <c r="C625" s="3">
        <f>935618.76-935618.76</f>
        <v>0</v>
      </c>
      <c r="D625" s="1">
        <f>271514.92-270183.83</f>
        <v>1331.0899999999674</v>
      </c>
      <c r="E625" s="3">
        <f>345090.05-345090.05</f>
        <v>0</v>
      </c>
      <c r="F625" s="1">
        <f>987684.57-987106.83</f>
        <v>577.73999999999069</v>
      </c>
      <c r="G625" s="1">
        <f>576467.19-574227.48</f>
        <v>2239.7099999999627</v>
      </c>
      <c r="H625" s="1">
        <f t="shared" si="46"/>
        <v>0</v>
      </c>
      <c r="I625" s="1"/>
      <c r="J625" s="3">
        <f t="shared" si="54"/>
        <v>4148.5399999999208</v>
      </c>
      <c r="K625" s="4">
        <f t="shared" si="50"/>
        <v>954164.19999998179</v>
      </c>
    </row>
    <row r="626" spans="1:11" ht="18.75" x14ac:dyDescent="0.3">
      <c r="A626" s="2">
        <v>45076</v>
      </c>
      <c r="B626" s="3">
        <f>718045.85-716754.93</f>
        <v>1290.9199999999255</v>
      </c>
      <c r="C626" s="3">
        <f>935618.76-935618.76</f>
        <v>0</v>
      </c>
      <c r="D626" s="1">
        <f>272683.76-271514.92</f>
        <v>1168.8400000000256</v>
      </c>
      <c r="E626" s="3">
        <f>345090.05-345090.05</f>
        <v>0</v>
      </c>
      <c r="F626" s="1">
        <f>987684.57-987684.57</f>
        <v>0</v>
      </c>
      <c r="G626" s="1">
        <f>576467.19-576467.19</f>
        <v>0</v>
      </c>
      <c r="H626" s="1">
        <f t="shared" si="46"/>
        <v>0</v>
      </c>
      <c r="I626" s="1"/>
      <c r="J626" s="3">
        <f t="shared" si="54"/>
        <v>2459.7599999999511</v>
      </c>
      <c r="K626" s="4">
        <f t="shared" si="50"/>
        <v>565744.79999998875</v>
      </c>
    </row>
    <row r="627" spans="1:11" ht="18.75" x14ac:dyDescent="0.3">
      <c r="A627" s="2">
        <v>45077</v>
      </c>
      <c r="B627" s="3">
        <f>718045.85-718045.85</f>
        <v>0</v>
      </c>
      <c r="C627" s="3">
        <f>936180.68-935618.76</f>
        <v>561.92000000004191</v>
      </c>
      <c r="D627" s="1">
        <f>275236.44-272683.76</f>
        <v>2552.679999999993</v>
      </c>
      <c r="E627" s="3">
        <f>345090.11-345090.05</f>
        <v>5.9999999997671694E-2</v>
      </c>
      <c r="F627" s="1">
        <f>989751.78-987684.57</f>
        <v>2067.2100000000792</v>
      </c>
      <c r="G627" s="1">
        <f>576467.19-576467.19</f>
        <v>0</v>
      </c>
      <c r="H627" s="1">
        <f t="shared" si="46"/>
        <v>0</v>
      </c>
      <c r="I627" s="1"/>
      <c r="J627" s="3">
        <f t="shared" si="54"/>
        <v>5181.8700000001118</v>
      </c>
      <c r="K627" s="4">
        <f t="shared" si="50"/>
        <v>1191830.1000000257</v>
      </c>
    </row>
    <row r="628" spans="1:11" ht="18.75" x14ac:dyDescent="0.3">
      <c r="A628" s="5" t="s">
        <v>10</v>
      </c>
      <c r="B628" s="5" t="s">
        <v>10</v>
      </c>
      <c r="C628" s="5" t="s">
        <v>10</v>
      </c>
      <c r="D628" s="5" t="s">
        <v>10</v>
      </c>
      <c r="E628" s="5" t="s">
        <v>10</v>
      </c>
      <c r="F628" s="5" t="s">
        <v>10</v>
      </c>
      <c r="G628" s="5" t="s">
        <v>10</v>
      </c>
      <c r="H628" s="5" t="s">
        <v>10</v>
      </c>
      <c r="I628" s="5" t="s">
        <v>10</v>
      </c>
      <c r="J628" s="5" t="s">
        <v>10</v>
      </c>
      <c r="K628" s="5" t="s">
        <v>10</v>
      </c>
    </row>
    <row r="629" spans="1:11" ht="18.75" x14ac:dyDescent="0.3">
      <c r="A629" s="6" t="s">
        <v>11</v>
      </c>
      <c r="B629" s="6">
        <f t="shared" ref="B629:K629" si="56">SUM(B597:B628)</f>
        <v>11986</v>
      </c>
      <c r="C629" s="6">
        <f t="shared" si="56"/>
        <v>30645.310000000056</v>
      </c>
      <c r="D629" s="6">
        <f t="shared" si="56"/>
        <v>34877.76999999999</v>
      </c>
      <c r="E629" s="6">
        <f t="shared" si="56"/>
        <v>9589.1900000000023</v>
      </c>
      <c r="F629" s="6">
        <f t="shared" si="56"/>
        <v>25691.20000000007</v>
      </c>
      <c r="G629" s="6">
        <f t="shared" si="56"/>
        <v>20285.469999999972</v>
      </c>
      <c r="H629" s="6">
        <f t="shared" si="56"/>
        <v>0</v>
      </c>
      <c r="I629" s="6">
        <f t="shared" si="56"/>
        <v>0</v>
      </c>
      <c r="J629" s="6">
        <f t="shared" si="56"/>
        <v>133074.94000000009</v>
      </c>
      <c r="K629" s="6">
        <f t="shared" si="56"/>
        <v>30607236.200000018</v>
      </c>
    </row>
    <row r="630" spans="1:11" ht="18.75" x14ac:dyDescent="0.3">
      <c r="A630" s="5" t="s">
        <v>10</v>
      </c>
      <c r="B630" s="5" t="s">
        <v>12</v>
      </c>
      <c r="C630" s="5" t="s">
        <v>12</v>
      </c>
      <c r="D630" s="5" t="s">
        <v>12</v>
      </c>
      <c r="E630" s="5" t="s">
        <v>12</v>
      </c>
      <c r="F630" s="5" t="s">
        <v>12</v>
      </c>
      <c r="G630" s="5" t="s">
        <v>12</v>
      </c>
      <c r="H630" s="5" t="s">
        <v>12</v>
      </c>
      <c r="I630" s="5" t="s">
        <v>12</v>
      </c>
      <c r="J630" s="5" t="s">
        <v>12</v>
      </c>
      <c r="K630" s="5" t="s">
        <v>13</v>
      </c>
    </row>
    <row r="631" spans="1:11" ht="18.75" x14ac:dyDescent="0.3">
      <c r="A631" s="6" t="s">
        <v>14</v>
      </c>
      <c r="B631" s="6">
        <f>4550+15100+14800+14900+14950</f>
        <v>64300</v>
      </c>
      <c r="C631" s="6">
        <v>0</v>
      </c>
      <c r="D631" s="6">
        <f>5000+14700+15000+14950+15000</f>
        <v>64650</v>
      </c>
      <c r="E631" s="6"/>
      <c r="F631" s="7">
        <f>6200+15200+15200+15150+15050</f>
        <v>66800</v>
      </c>
      <c r="G631" s="6">
        <v>0</v>
      </c>
      <c r="H631" s="6">
        <v>0</v>
      </c>
      <c r="I631" s="6">
        <v>0</v>
      </c>
      <c r="J631" s="6">
        <f>SUM(B631:I631)</f>
        <v>195750</v>
      </c>
      <c r="K631" s="8">
        <f>J631*204.91</f>
        <v>40111132.5</v>
      </c>
    </row>
    <row r="632" spans="1:11" ht="18.75" x14ac:dyDescent="0.3">
      <c r="A632" s="6" t="s">
        <v>14</v>
      </c>
      <c r="B632" s="6">
        <f>B631-B629-C629+231</f>
        <v>21899.689999999944</v>
      </c>
      <c r="C632" s="6">
        <v>0</v>
      </c>
      <c r="D632" s="6">
        <f>D631-D629-E629-33</f>
        <v>20150.040000000008</v>
      </c>
      <c r="E632" s="6"/>
      <c r="F632" s="7">
        <f>F631-F629-G629-H629-I629-423</f>
        <v>20400.329999999958</v>
      </c>
      <c r="G632" s="6">
        <v>0</v>
      </c>
      <c r="H632" s="6">
        <f>H631</f>
        <v>0</v>
      </c>
      <c r="I632" s="6">
        <v>0</v>
      </c>
      <c r="J632" s="6">
        <f>SUM(B632:I632)</f>
        <v>62450.05999999991</v>
      </c>
      <c r="K632" s="8">
        <f>J632*250</f>
        <v>15612514.999999978</v>
      </c>
    </row>
    <row r="633" spans="1:11" ht="18.75" x14ac:dyDescent="0.3">
      <c r="A633" s="6"/>
      <c r="B633" s="6">
        <v>0</v>
      </c>
      <c r="C633" s="6">
        <v>0</v>
      </c>
      <c r="D633" s="6">
        <v>0</v>
      </c>
      <c r="E633" s="6"/>
      <c r="F633" s="6">
        <v>0</v>
      </c>
      <c r="G633" s="6">
        <v>0</v>
      </c>
      <c r="H633" s="6"/>
      <c r="I633" s="6">
        <v>0</v>
      </c>
      <c r="J633" s="6">
        <v>0</v>
      </c>
      <c r="K633" s="5" t="s">
        <v>15</v>
      </c>
    </row>
    <row r="634" spans="1:11" ht="18.75" x14ac:dyDescent="0.3">
      <c r="A634" s="6" t="s">
        <v>16</v>
      </c>
      <c r="B634" s="6">
        <f>B632+B629+C629+D629+E629-B631</f>
        <v>44697.959999999992</v>
      </c>
      <c r="C634" s="6">
        <v>0</v>
      </c>
      <c r="D634" s="6">
        <v>0</v>
      </c>
      <c r="E634" s="9">
        <f>D634/10</f>
        <v>0</v>
      </c>
      <c r="F634" s="6">
        <f>F632+F629+G629+H629+I629-F631</f>
        <v>-423</v>
      </c>
      <c r="G634" s="6">
        <v>0</v>
      </c>
      <c r="H634" s="6">
        <v>0</v>
      </c>
      <c r="I634" s="6">
        <v>0</v>
      </c>
      <c r="J634" s="6">
        <f>SUM(B634:I634)</f>
        <v>44274.959999999992</v>
      </c>
      <c r="K634" s="6"/>
    </row>
    <row r="635" spans="1:11" ht="18.75" x14ac:dyDescent="0.3">
      <c r="A635" s="6">
        <v>0</v>
      </c>
      <c r="B635" s="6">
        <v>0</v>
      </c>
      <c r="C635" s="6">
        <v>0</v>
      </c>
      <c r="D635" s="6">
        <v>0</v>
      </c>
      <c r="E635" s="6"/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</row>
    <row r="636" spans="1:11" ht="18.75" x14ac:dyDescent="0.3">
      <c r="A636" s="6">
        <v>0</v>
      </c>
      <c r="B636" s="6">
        <f>B631-B632</f>
        <v>42400.310000000056</v>
      </c>
      <c r="C636" s="6" t="s">
        <v>17</v>
      </c>
      <c r="D636" s="6">
        <v>0</v>
      </c>
      <c r="E636" s="6"/>
      <c r="F636" s="6">
        <f>F631-F632</f>
        <v>46399.670000000042</v>
      </c>
      <c r="G636" s="6">
        <v>0</v>
      </c>
      <c r="H636" s="6">
        <v>0</v>
      </c>
      <c r="I636" s="6">
        <f>I631-I632</f>
        <v>0</v>
      </c>
      <c r="J636" s="6">
        <f>J631-J632</f>
        <v>133299.94000000009</v>
      </c>
      <c r="K636" s="10">
        <v>0</v>
      </c>
    </row>
    <row r="637" spans="1:11" ht="18.75" x14ac:dyDescent="0.3">
      <c r="A637" s="6">
        <v>0</v>
      </c>
      <c r="B637" s="6">
        <f>B636/20*0.2</f>
        <v>424.00310000000059</v>
      </c>
      <c r="C637" s="6">
        <v>0</v>
      </c>
      <c r="D637" s="6">
        <v>0</v>
      </c>
      <c r="E637" s="6"/>
      <c r="F637" s="6">
        <f>F636/20*0.2</f>
        <v>463.99670000000043</v>
      </c>
      <c r="G637" s="6">
        <v>0</v>
      </c>
      <c r="H637" s="6">
        <v>0</v>
      </c>
      <c r="I637" s="6">
        <f>I636/20*0.6</f>
        <v>0</v>
      </c>
      <c r="J637" s="6">
        <f>J636/20*0.6</f>
        <v>3998.9982000000027</v>
      </c>
      <c r="K637" s="11">
        <v>0</v>
      </c>
    </row>
    <row r="638" spans="1:11" ht="18.75" x14ac:dyDescent="0.3">
      <c r="A638" s="6">
        <v>0</v>
      </c>
      <c r="B638" s="6">
        <f>B634-B637</f>
        <v>44273.95689999999</v>
      </c>
      <c r="C638" s="6">
        <v>0</v>
      </c>
      <c r="D638" s="6">
        <v>0</v>
      </c>
      <c r="E638" s="6">
        <v>0</v>
      </c>
      <c r="F638" s="6">
        <f>F634-F637</f>
        <v>-886.99670000000037</v>
      </c>
      <c r="G638" s="6">
        <v>0</v>
      </c>
      <c r="H638" s="6">
        <v>0</v>
      </c>
      <c r="I638" s="6">
        <f>I634-I637</f>
        <v>0</v>
      </c>
      <c r="J638" s="6">
        <f>J634-J637</f>
        <v>40275.96179999999</v>
      </c>
      <c r="K638" s="6" t="s">
        <v>18</v>
      </c>
    </row>
    <row r="639" spans="1:11" ht="18.75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ht="18.75" x14ac:dyDescent="0.3">
      <c r="A640" s="6">
        <v>0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10">
        <v>0</v>
      </c>
      <c r="I640" s="6">
        <f>I635-I638</f>
        <v>0</v>
      </c>
      <c r="J640" s="6">
        <v>0</v>
      </c>
      <c r="K640" s="6"/>
    </row>
    <row r="641" spans="1:11" ht="18.75" x14ac:dyDescent="0.3">
      <c r="A641" s="6"/>
      <c r="B641" s="6">
        <v>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f>I636-I640</f>
        <v>0</v>
      </c>
      <c r="J641" s="6">
        <v>0</v>
      </c>
      <c r="K641" s="10">
        <v>0</v>
      </c>
    </row>
    <row r="642" spans="1:11" ht="18.75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ht="18.75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ht="18.75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ht="18.75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ht="18.75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9"/>
      <c r="K646" s="6"/>
    </row>
    <row r="647" spans="1:11" ht="18.75" x14ac:dyDescent="0.3">
      <c r="A647" s="6"/>
      <c r="B647" s="12"/>
      <c r="C647" s="12"/>
      <c r="D647" s="12"/>
      <c r="E647" s="12"/>
      <c r="F647" s="12"/>
      <c r="G647" s="12"/>
      <c r="H647" s="12"/>
      <c r="I647" s="12"/>
      <c r="J647" s="9"/>
      <c r="K647" s="6"/>
    </row>
    <row r="648" spans="1:11" ht="18.75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9"/>
      <c r="K648" s="6"/>
    </row>
    <row r="649" spans="1:11" ht="18.75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9"/>
      <c r="K649" s="6"/>
    </row>
    <row r="650" spans="1:11" ht="18.75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9"/>
      <c r="K650" s="6"/>
    </row>
    <row r="651" spans="1:11" ht="18.75" x14ac:dyDescent="0.3">
      <c r="A651" s="6"/>
      <c r="B651" s="12"/>
      <c r="C651" s="12"/>
      <c r="D651" s="6"/>
      <c r="E651" s="12"/>
      <c r="F651" s="12"/>
      <c r="G651" s="12"/>
      <c r="H651" s="6"/>
      <c r="I651" s="6"/>
      <c r="J651" s="9"/>
      <c r="K651" s="6"/>
    </row>
    <row r="652" spans="1:11" ht="18.75" x14ac:dyDescent="0.3">
      <c r="A652" s="6"/>
      <c r="B652" s="12"/>
      <c r="C652" s="12"/>
      <c r="D652" s="12"/>
      <c r="E652" s="12"/>
      <c r="F652" s="12"/>
      <c r="G652" s="6"/>
      <c r="H652" s="6"/>
      <c r="I652" s="6"/>
      <c r="J652" s="9"/>
      <c r="K652" s="6"/>
    </row>
    <row r="653" spans="1:11" ht="18.75" x14ac:dyDescent="0.3">
      <c r="A653" s="12"/>
      <c r="B653" s="12"/>
      <c r="C653" s="12"/>
      <c r="D653" s="6"/>
      <c r="E653" s="6"/>
      <c r="F653" s="6"/>
      <c r="G653" s="6"/>
      <c r="H653" s="6"/>
      <c r="I653" s="6"/>
      <c r="J653" s="9"/>
      <c r="K653" s="6"/>
    </row>
    <row r="654" spans="1:11" ht="18.75" x14ac:dyDescent="0.3">
      <c r="A654" s="12"/>
      <c r="B654" s="12"/>
      <c r="C654" s="12"/>
      <c r="D654" s="6"/>
      <c r="E654" s="6"/>
      <c r="F654" s="6"/>
      <c r="G654" s="6"/>
      <c r="H654" s="6"/>
      <c r="I654" s="6"/>
      <c r="J654" s="6"/>
      <c r="K654" s="6"/>
    </row>
    <row r="655" spans="1:11" ht="18.75" x14ac:dyDescent="0.3">
      <c r="A655" s="12"/>
      <c r="B655" s="12"/>
      <c r="C655" s="6"/>
      <c r="D655" s="6"/>
      <c r="E655" s="6"/>
      <c r="F655" s="6"/>
      <c r="G655" s="6"/>
      <c r="H655" s="6"/>
      <c r="I655" s="6"/>
      <c r="J655" s="6"/>
      <c r="K655" s="6"/>
    </row>
    <row r="656" spans="1:11" ht="18.75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ht="18.75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ht="18.75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ht="18.75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ht="18.75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ht="18.75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ht="18.75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ht="18.75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ht="18.75" x14ac:dyDescent="0.3">
      <c r="A664" s="12"/>
      <c r="B664" s="12"/>
      <c r="C664" s="6"/>
      <c r="D664" s="6"/>
      <c r="E664" s="6"/>
      <c r="F664" s="6"/>
      <c r="G664" s="6"/>
      <c r="H664" s="6"/>
      <c r="I664" s="6"/>
      <c r="J664" s="6"/>
      <c r="K664" s="6"/>
    </row>
    <row r="665" spans="1:11" ht="18.75" x14ac:dyDescent="0.3">
      <c r="A665" s="12"/>
      <c r="B665" s="12"/>
      <c r="C665" s="6"/>
      <c r="D665" s="6"/>
      <c r="E665" s="6"/>
      <c r="F665" s="6"/>
      <c r="G665" s="6"/>
      <c r="H665" s="6"/>
      <c r="I665" s="6"/>
      <c r="J665" s="6"/>
      <c r="K665" s="6"/>
    </row>
    <row r="666" spans="1:11" ht="18.75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ht="18.75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ht="18.75" x14ac:dyDescent="0.3">
      <c r="A668" s="6"/>
      <c r="B668" s="6"/>
      <c r="C668" s="12"/>
      <c r="D668" s="12"/>
      <c r="E668" s="6"/>
      <c r="F668" s="6"/>
      <c r="G668" s="6"/>
      <c r="H668" s="6"/>
      <c r="I668" s="6"/>
      <c r="J668" s="6"/>
      <c r="K668" s="6"/>
    </row>
    <row r="669" spans="1:11" ht="18.75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ht="18.75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ht="18.75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ht="18.75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ht="18.75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ht="18.75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ht="18.75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ht="18.75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ht="18.75" x14ac:dyDescent="0.3">
      <c r="A677" s="6"/>
      <c r="B677" s="12"/>
      <c r="C677" s="12"/>
      <c r="D677" s="12"/>
      <c r="E677" s="12"/>
      <c r="F677" s="12"/>
      <c r="G677" s="6"/>
      <c r="H677" s="12"/>
      <c r="I677" s="6"/>
      <c r="J677" s="6"/>
      <c r="K677" s="6"/>
    </row>
    <row r="678" spans="1:11" ht="18.75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ht="18.75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ht="18.75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ht="18.75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ht="18.75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ht="18.75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ht="18.75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ht="18.75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ht="18.75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ht="18.75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ht="18.75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ht="18.75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ht="18.75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ht="18.75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ht="18.75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ht="18.75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ht="18.75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ht="18.75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ht="18.75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ht="18.75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ht="18.75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ht="18.75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ht="18.75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ht="18.75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ht="18.75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ht="18.75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ht="18.75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ht="18.75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ht="18.75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ht="18.7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8.7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8.75" x14ac:dyDescent="0.3">
      <c r="A709" s="6"/>
      <c r="B709" s="7"/>
      <c r="C709" s="1"/>
      <c r="D709" s="1"/>
      <c r="E709" s="1"/>
      <c r="F709" s="1"/>
      <c r="G709" s="1"/>
      <c r="H709" s="1"/>
      <c r="I709" s="1"/>
      <c r="J709" s="6"/>
      <c r="K709" s="1"/>
    </row>
    <row r="710" spans="1:11" ht="18.75" x14ac:dyDescent="0.3">
      <c r="A710" s="6"/>
      <c r="B710" s="7"/>
      <c r="C710" s="1"/>
      <c r="D710" s="1"/>
      <c r="E710" s="1"/>
      <c r="F710" s="1"/>
      <c r="G710" s="1"/>
      <c r="H710" s="1"/>
      <c r="I710" s="1"/>
      <c r="J710" s="6"/>
      <c r="K710" s="1"/>
    </row>
    <row r="711" spans="1:11" ht="18.75" x14ac:dyDescent="0.3">
      <c r="A711" s="6"/>
      <c r="B711" s="7"/>
      <c r="C711" s="1"/>
      <c r="D711" s="1"/>
      <c r="E711" s="1"/>
      <c r="F711" s="1"/>
      <c r="G711" s="1"/>
      <c r="H711" s="1"/>
      <c r="I711" s="1"/>
      <c r="J711" s="6"/>
      <c r="K711" s="1"/>
    </row>
    <row r="712" spans="1:11" ht="18.75" x14ac:dyDescent="0.3">
      <c r="A712" s="6"/>
      <c r="B712" s="7"/>
      <c r="C712" s="1"/>
      <c r="D712" s="1"/>
      <c r="E712" s="1"/>
      <c r="F712" s="1"/>
      <c r="G712" s="1"/>
      <c r="H712" s="1"/>
      <c r="I712" s="1"/>
      <c r="J712" s="6"/>
      <c r="K712" s="1"/>
    </row>
    <row r="713" spans="1:11" ht="18.75" x14ac:dyDescent="0.3">
      <c r="A713" s="6"/>
      <c r="B713" s="7"/>
      <c r="C713" s="1"/>
      <c r="D713" s="1"/>
      <c r="E713" s="1"/>
      <c r="F713" s="1"/>
      <c r="G713" s="1"/>
      <c r="H713" s="1"/>
      <c r="I713" s="1"/>
      <c r="J713" s="6"/>
      <c r="K713" s="1"/>
    </row>
    <row r="714" spans="1:11" ht="18.75" x14ac:dyDescent="0.3">
      <c r="A714" s="6"/>
      <c r="B714" s="7"/>
      <c r="C714" s="1"/>
      <c r="D714" s="1"/>
      <c r="E714" s="1"/>
      <c r="F714" s="1"/>
      <c r="G714" s="1"/>
      <c r="H714" s="1"/>
      <c r="I714" s="1"/>
      <c r="J714" s="6"/>
      <c r="K714" s="1"/>
    </row>
    <row r="715" spans="1:11" ht="18.75" x14ac:dyDescent="0.3">
      <c r="A715" s="6"/>
      <c r="B715" s="7"/>
      <c r="C715" s="1"/>
      <c r="D715" s="1"/>
      <c r="E715" s="1"/>
      <c r="F715" s="1"/>
      <c r="G715" s="1"/>
      <c r="H715" s="1"/>
      <c r="I715" s="1"/>
      <c r="J715" s="6"/>
      <c r="K715" s="1"/>
    </row>
    <row r="716" spans="1:11" ht="18.75" x14ac:dyDescent="0.3">
      <c r="A716" s="6"/>
      <c r="B716" s="7"/>
      <c r="C716" s="1"/>
      <c r="D716" s="1"/>
      <c r="E716" s="1"/>
      <c r="F716" s="1"/>
      <c r="G716" s="1"/>
      <c r="H716" s="1"/>
      <c r="I716" s="1"/>
      <c r="J716" s="6"/>
      <c r="K716" s="1"/>
    </row>
    <row r="717" spans="1:11" ht="18.75" x14ac:dyDescent="0.3">
      <c r="A717" s="6"/>
      <c r="B717" s="7"/>
      <c r="C717" s="1"/>
      <c r="D717" s="1"/>
      <c r="E717" s="1"/>
      <c r="F717" s="1"/>
      <c r="G717" s="1"/>
      <c r="H717" s="1"/>
      <c r="I717" s="1"/>
      <c r="J717" s="6"/>
      <c r="K717" s="1"/>
    </row>
    <row r="718" spans="1:11" ht="18.75" x14ac:dyDescent="0.3">
      <c r="A718" s="6"/>
      <c r="B718" s="7"/>
      <c r="C718" s="1"/>
      <c r="D718" s="1"/>
      <c r="E718" s="1"/>
      <c r="F718" s="1"/>
      <c r="G718" s="1"/>
      <c r="H718" s="1"/>
      <c r="I718" s="1"/>
      <c r="J718" s="6"/>
      <c r="K718" s="1"/>
    </row>
    <row r="719" spans="1:11" ht="18.75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ht="18.75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ht="18.75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ht="18.75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ht="18.75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ht="18.75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ht="18.75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ht="18.75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ht="18.75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ht="18.75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ht="18.75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ht="18.75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ht="18.75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ht="18.75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ht="18.75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ht="18.75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ht="18.75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ht="18.75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ht="18.75" x14ac:dyDescent="0.3">
      <c r="A737" s="1" t="s">
        <v>22</v>
      </c>
      <c r="B737" s="1"/>
      <c r="C737" s="6"/>
      <c r="D737" s="6"/>
      <c r="E737" s="6"/>
      <c r="F737" s="6"/>
      <c r="G737" s="6"/>
      <c r="H737" s="6"/>
      <c r="I737" s="6"/>
      <c r="J737" s="6"/>
      <c r="K737" s="6"/>
    </row>
    <row r="738" spans="1:11" ht="18.7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8.7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 t="s">
        <v>0</v>
      </c>
      <c r="K739" s="1" t="s">
        <v>20</v>
      </c>
    </row>
    <row r="740" spans="1:11" ht="18.75" x14ac:dyDescent="0.3">
      <c r="A740" s="1"/>
      <c r="B740" s="1" t="s">
        <v>2</v>
      </c>
      <c r="C740" s="1" t="s">
        <v>3</v>
      </c>
      <c r="D740" s="1" t="s">
        <v>4</v>
      </c>
      <c r="E740" s="1" t="s">
        <v>5</v>
      </c>
      <c r="F740" s="1" t="s">
        <v>6</v>
      </c>
      <c r="G740" s="1" t="s">
        <v>7</v>
      </c>
      <c r="H740" s="1" t="s">
        <v>8</v>
      </c>
      <c r="I740" s="1" t="s">
        <v>9</v>
      </c>
      <c r="J740" s="1" t="s">
        <v>1</v>
      </c>
      <c r="K740" s="1" t="s">
        <v>1</v>
      </c>
    </row>
    <row r="741" spans="1:11" ht="18.75" x14ac:dyDescent="0.3">
      <c r="A741" s="2">
        <v>45078</v>
      </c>
      <c r="B741" s="3">
        <f>718967.95-718045.85</f>
        <v>922.09999999997672</v>
      </c>
      <c r="C741" s="3">
        <f>936732.52-936180.68</f>
        <v>551.8399999999674</v>
      </c>
      <c r="D741" s="1">
        <f>275236.44-275236.44</f>
        <v>0</v>
      </c>
      <c r="E741" s="3">
        <f t="shared" ref="E741:E747" si="57">345090.11-345090.11</f>
        <v>0</v>
      </c>
      <c r="F741" s="1">
        <f>990139.57-989751.78</f>
        <v>387.78999999992084</v>
      </c>
      <c r="G741" s="1">
        <f>576872.33-576467.19</f>
        <v>405.14000000001397</v>
      </c>
      <c r="H741" s="1">
        <f t="shared" ref="H741:H770" si="58">1081662-1081662</f>
        <v>0</v>
      </c>
      <c r="I741" s="1"/>
      <c r="J741" s="3">
        <f t="shared" ref="J741" si="59">SUM(B741:I741)</f>
        <v>2266.8699999998789</v>
      </c>
      <c r="K741" s="4">
        <f>J741*550</f>
        <v>1246778.4999999334</v>
      </c>
    </row>
    <row r="742" spans="1:11" ht="18.75" x14ac:dyDescent="0.3">
      <c r="A742" s="2">
        <v>45079</v>
      </c>
      <c r="B742" s="3">
        <f>719715.21-718967.95</f>
        <v>747.26000000000931</v>
      </c>
      <c r="C742" s="3">
        <f>937100.54-936732.52</f>
        <v>368.02000000001863</v>
      </c>
      <c r="D742" s="1">
        <f>275236.44-275236.44</f>
        <v>0</v>
      </c>
      <c r="E742" s="3">
        <f t="shared" si="57"/>
        <v>0</v>
      </c>
      <c r="F742" s="1">
        <f>990139.57-990139.57</f>
        <v>0</v>
      </c>
      <c r="G742" s="1">
        <f>577374.97-576872.33</f>
        <v>502.64000000001397</v>
      </c>
      <c r="H742" s="1">
        <f t="shared" si="58"/>
        <v>0</v>
      </c>
      <c r="I742" s="1"/>
      <c r="J742" s="3">
        <f t="shared" ref="J742:J749" si="60">SUM(B742:I742)</f>
        <v>1617.9200000000419</v>
      </c>
      <c r="K742" s="4">
        <f t="shared" ref="K742:K770" si="61">J742*550</f>
        <v>889856.00000002305</v>
      </c>
    </row>
    <row r="743" spans="1:11" ht="18.75" x14ac:dyDescent="0.3">
      <c r="A743" s="2">
        <v>45080</v>
      </c>
      <c r="B743" s="3">
        <f>719715.21-719715.21</f>
        <v>0</v>
      </c>
      <c r="C743" s="3">
        <f>938287.88-937100.54</f>
        <v>1187.3399999999674</v>
      </c>
      <c r="D743" s="1">
        <f>276113.32-275236.44</f>
        <v>876.88000000000466</v>
      </c>
      <c r="E743" s="3">
        <f t="shared" si="57"/>
        <v>0</v>
      </c>
      <c r="F743" s="1">
        <f>990139.57-990139.57</f>
        <v>0</v>
      </c>
      <c r="G743" s="1">
        <f>577374.97-577374.97</f>
        <v>0</v>
      </c>
      <c r="H743" s="1">
        <f t="shared" si="58"/>
        <v>0</v>
      </c>
      <c r="I743" s="1"/>
      <c r="J743" s="3">
        <f t="shared" si="60"/>
        <v>2064.2199999999721</v>
      </c>
      <c r="K743" s="4">
        <f t="shared" si="61"/>
        <v>1135320.9999999846</v>
      </c>
    </row>
    <row r="744" spans="1:11" ht="18.75" x14ac:dyDescent="0.3">
      <c r="A744" s="2">
        <v>45081</v>
      </c>
      <c r="B744" s="3">
        <f>719715.21-719715.21</f>
        <v>0</v>
      </c>
      <c r="C744" s="3">
        <f>938287.88-938287.88</f>
        <v>0</v>
      </c>
      <c r="D744" s="1">
        <f>277196.28-276113.32</f>
        <v>1082.960000000021</v>
      </c>
      <c r="E744" s="3">
        <f t="shared" si="57"/>
        <v>0</v>
      </c>
      <c r="F744" s="1">
        <f>990686.94-990139.57</f>
        <v>547.36999999999534</v>
      </c>
      <c r="G744" s="1">
        <f>577708.03-577374.97</f>
        <v>333.06000000005588</v>
      </c>
      <c r="H744" s="1">
        <f t="shared" si="58"/>
        <v>0</v>
      </c>
      <c r="I744" s="1"/>
      <c r="J744" s="3">
        <f t="shared" si="60"/>
        <v>1963.3900000000722</v>
      </c>
      <c r="K744" s="4">
        <f t="shared" si="61"/>
        <v>1079864.5000000396</v>
      </c>
    </row>
    <row r="745" spans="1:11" ht="18.75" x14ac:dyDescent="0.3">
      <c r="A745" s="2">
        <v>45082</v>
      </c>
      <c r="B745" s="3">
        <f>719715.21-719715.21</f>
        <v>0</v>
      </c>
      <c r="C745" s="3">
        <f>939882.9-938287.88</f>
        <v>1595.0200000000186</v>
      </c>
      <c r="D745" s="1">
        <f>277196.28-277196.28</f>
        <v>0</v>
      </c>
      <c r="E745" s="3">
        <f t="shared" si="57"/>
        <v>0</v>
      </c>
      <c r="F745" s="1">
        <f>991629.27-990686.94</f>
        <v>942.33000000007451</v>
      </c>
      <c r="G745" s="1">
        <f>578392.94-577708.03</f>
        <v>684.90999999991618</v>
      </c>
      <c r="H745" s="1">
        <f t="shared" si="58"/>
        <v>0</v>
      </c>
      <c r="I745" s="1"/>
      <c r="J745" s="3">
        <f t="shared" si="60"/>
        <v>3222.2600000000093</v>
      </c>
      <c r="K745" s="4">
        <f t="shared" si="61"/>
        <v>1772243.0000000051</v>
      </c>
    </row>
    <row r="746" spans="1:11" ht="18.75" x14ac:dyDescent="0.3">
      <c r="A746" s="2">
        <v>45083</v>
      </c>
      <c r="B746" s="3">
        <f>719715.21-719715.21</f>
        <v>0</v>
      </c>
      <c r="C746" s="3">
        <f>939882.9-939882.9</f>
        <v>0</v>
      </c>
      <c r="D746" s="1">
        <f>277959.02-277196.28</f>
        <v>762.73999999999069</v>
      </c>
      <c r="E746" s="3">
        <f t="shared" si="57"/>
        <v>0</v>
      </c>
      <c r="F746" s="1">
        <f>991903.6-991629.27</f>
        <v>274.32999999995809</v>
      </c>
      <c r="G746" s="1">
        <f>579063.56-578392.94</f>
        <v>670.62000000011176</v>
      </c>
      <c r="H746" s="1">
        <f t="shared" si="58"/>
        <v>0</v>
      </c>
      <c r="I746" s="1"/>
      <c r="J746" s="3">
        <f t="shared" si="60"/>
        <v>1707.6900000000605</v>
      </c>
      <c r="K746" s="4">
        <f t="shared" si="61"/>
        <v>939229.50000003329</v>
      </c>
    </row>
    <row r="747" spans="1:11" ht="18.75" x14ac:dyDescent="0.3">
      <c r="A747" s="2">
        <v>45084</v>
      </c>
      <c r="B747" s="3">
        <f>720058.97-719715.21</f>
        <v>343.76000000000931</v>
      </c>
      <c r="C747" s="3">
        <f>940184.86-939882.9</f>
        <v>301.95999999996275</v>
      </c>
      <c r="D747" s="1">
        <f>277959.02-277959.02</f>
        <v>0</v>
      </c>
      <c r="E747" s="3">
        <f t="shared" si="57"/>
        <v>0</v>
      </c>
      <c r="F747" s="1">
        <f>992363.2-991903.6</f>
        <v>459.59999999997672</v>
      </c>
      <c r="G747" s="1">
        <f>579814.83-579063.56</f>
        <v>751.26999999990221</v>
      </c>
      <c r="H747" s="1">
        <f t="shared" si="58"/>
        <v>0</v>
      </c>
      <c r="I747" s="1"/>
      <c r="J747" s="3">
        <f t="shared" si="60"/>
        <v>1856.589999999851</v>
      </c>
      <c r="K747" s="4">
        <f t="shared" si="61"/>
        <v>1021124.499999918</v>
      </c>
    </row>
    <row r="748" spans="1:11" ht="18.75" x14ac:dyDescent="0.3">
      <c r="A748" s="2">
        <v>45085</v>
      </c>
      <c r="B748" s="3">
        <f>720058.97-720058.97</f>
        <v>0</v>
      </c>
      <c r="C748" s="3">
        <f>940184.86-940184.86</f>
        <v>0</v>
      </c>
      <c r="D748" s="1">
        <f>278532.43-277959.02</f>
        <v>573.40999999997439</v>
      </c>
      <c r="E748" s="3">
        <f>345712.07-345090.11</f>
        <v>621.96000000002095</v>
      </c>
      <c r="F748" s="1">
        <f>992534.77-992363.2</f>
        <v>171.57000000006519</v>
      </c>
      <c r="G748" s="1">
        <f>580675.14-579814.83</f>
        <v>860.31000000005588</v>
      </c>
      <c r="H748" s="1">
        <f t="shared" si="58"/>
        <v>0</v>
      </c>
      <c r="I748" s="1"/>
      <c r="J748" s="3">
        <f t="shared" si="60"/>
        <v>2227.2500000001164</v>
      </c>
      <c r="K748" s="4">
        <f t="shared" si="61"/>
        <v>1224987.500000064</v>
      </c>
    </row>
    <row r="749" spans="1:11" ht="18.75" x14ac:dyDescent="0.3">
      <c r="A749" s="2">
        <v>45086</v>
      </c>
      <c r="B749" s="3">
        <f>720810.59-720058.97</f>
        <v>751.61999999999534</v>
      </c>
      <c r="C749" s="3">
        <f>940863.72-940184.86</f>
        <v>678.85999999998603</v>
      </c>
      <c r="D749" s="1">
        <f>278899.9-278532.43</f>
        <v>367.47000000003027</v>
      </c>
      <c r="E749" s="3">
        <f>345712.07-345712.07</f>
        <v>0</v>
      </c>
      <c r="F749" s="1">
        <f>992534.77-992534.77</f>
        <v>0</v>
      </c>
      <c r="G749" s="1">
        <f t="shared" ref="G749:G754" si="62">580675.14-580675.14</f>
        <v>0</v>
      </c>
      <c r="H749" s="1">
        <f t="shared" si="58"/>
        <v>0</v>
      </c>
      <c r="I749" s="1"/>
      <c r="J749" s="3">
        <f t="shared" si="60"/>
        <v>1797.9500000000116</v>
      </c>
      <c r="K749" s="4">
        <f t="shared" si="61"/>
        <v>988872.5000000064</v>
      </c>
    </row>
    <row r="750" spans="1:11" ht="18.75" x14ac:dyDescent="0.3">
      <c r="A750" s="2">
        <v>45087</v>
      </c>
      <c r="B750" s="3">
        <f>721337.72-720810.59</f>
        <v>527.13000000000466</v>
      </c>
      <c r="C750" s="3">
        <f>941181.06-940863.72</f>
        <v>317.34000000008382</v>
      </c>
      <c r="D750" s="1">
        <f>279761.77-278899.9</f>
        <v>861.86999999999534</v>
      </c>
      <c r="E750" s="3">
        <f>345712.07-345712.07</f>
        <v>0</v>
      </c>
      <c r="F750" s="1">
        <f>992534.77-992534.77</f>
        <v>0</v>
      </c>
      <c r="G750" s="1">
        <f t="shared" si="62"/>
        <v>0</v>
      </c>
      <c r="H750" s="1">
        <f t="shared" si="58"/>
        <v>0</v>
      </c>
      <c r="I750" s="1"/>
      <c r="J750" s="3">
        <f t="shared" ref="J750:J754" si="63">SUM(B750:I750)</f>
        <v>1706.3400000000838</v>
      </c>
      <c r="K750" s="4">
        <f t="shared" si="61"/>
        <v>938487.0000000461</v>
      </c>
    </row>
    <row r="751" spans="1:11" ht="18.75" x14ac:dyDescent="0.3">
      <c r="A751" s="2">
        <v>45088</v>
      </c>
      <c r="B751" s="3">
        <f>721787.34-721337.72</f>
        <v>449.61999999999534</v>
      </c>
      <c r="C751" s="3">
        <f>941601.29-941181.06</f>
        <v>420.22999999998137</v>
      </c>
      <c r="D751" s="1">
        <f>280692.66-279761.77</f>
        <v>930.88999999995576</v>
      </c>
      <c r="E751" s="3">
        <f>345712.07-345712.07</f>
        <v>0</v>
      </c>
      <c r="F751" s="1">
        <f>992534.77-992534.77</f>
        <v>0</v>
      </c>
      <c r="G751" s="1">
        <f t="shared" si="62"/>
        <v>0</v>
      </c>
      <c r="H751" s="1">
        <f t="shared" si="58"/>
        <v>0</v>
      </c>
      <c r="I751" s="1"/>
      <c r="J751" s="3">
        <f t="shared" si="63"/>
        <v>1800.7399999999325</v>
      </c>
      <c r="K751" s="4">
        <f t="shared" si="61"/>
        <v>990406.99999996286</v>
      </c>
    </row>
    <row r="752" spans="1:11" ht="18.75" x14ac:dyDescent="0.3">
      <c r="A752" s="2">
        <v>45089</v>
      </c>
      <c r="B752" s="3">
        <f>721787.34-721787.34</f>
        <v>0</v>
      </c>
      <c r="C752" s="3">
        <f>941601.29-941601.29</f>
        <v>0</v>
      </c>
      <c r="D752" s="1">
        <f>281898.66-280692.66</f>
        <v>1206</v>
      </c>
      <c r="E752" s="3">
        <f>345712.07-345712.07</f>
        <v>0</v>
      </c>
      <c r="F752" s="1">
        <f>993930.99-992534.77</f>
        <v>1396.2199999999721</v>
      </c>
      <c r="G752" s="1">
        <f t="shared" si="62"/>
        <v>0</v>
      </c>
      <c r="H752" s="1">
        <f t="shared" si="58"/>
        <v>0</v>
      </c>
      <c r="I752" s="1"/>
      <c r="J752" s="3">
        <f t="shared" si="63"/>
        <v>2602.2199999999721</v>
      </c>
      <c r="K752" s="4">
        <f t="shared" si="61"/>
        <v>1431220.9999999846</v>
      </c>
    </row>
    <row r="753" spans="1:11" ht="18.75" x14ac:dyDescent="0.3">
      <c r="A753" s="2">
        <v>45090</v>
      </c>
      <c r="B753" s="3">
        <f>722393.58-721787.34</f>
        <v>606.23999999999069</v>
      </c>
      <c r="C753" s="3">
        <f>942763.1-941601.29</f>
        <v>1161.8099999999395</v>
      </c>
      <c r="D753" s="1">
        <f>282280.77-281898.66</f>
        <v>382.11000000004424</v>
      </c>
      <c r="E753" s="3">
        <f>345712.07-345712.07</f>
        <v>0</v>
      </c>
      <c r="F753" s="1">
        <f>993930.99-993930.99</f>
        <v>0</v>
      </c>
      <c r="G753" s="1">
        <f t="shared" si="62"/>
        <v>0</v>
      </c>
      <c r="H753" s="1">
        <f t="shared" si="58"/>
        <v>0</v>
      </c>
      <c r="I753" s="1"/>
      <c r="J753" s="3">
        <f t="shared" si="63"/>
        <v>2150.1599999999744</v>
      </c>
      <c r="K753" s="4">
        <f t="shared" si="61"/>
        <v>1182587.999999986</v>
      </c>
    </row>
    <row r="754" spans="1:11" ht="18.75" x14ac:dyDescent="0.3">
      <c r="A754" s="2">
        <v>45091</v>
      </c>
      <c r="B754" s="3">
        <f>722393.58-722393.58</f>
        <v>0</v>
      </c>
      <c r="C754" s="3">
        <f>943883.99-942763.1</f>
        <v>1120.890000000014</v>
      </c>
      <c r="D754" s="1">
        <f t="shared" ref="D754:D770" si="64">282280.77-282280.77</f>
        <v>0</v>
      </c>
      <c r="E754" s="3">
        <f>345712.19-345712.07</f>
        <v>0.11999999999534339</v>
      </c>
      <c r="F754" s="1">
        <f>994942.33-993930.99</f>
        <v>1011.3399999999674</v>
      </c>
      <c r="G754" s="1">
        <f t="shared" si="62"/>
        <v>0</v>
      </c>
      <c r="H754" s="1">
        <f t="shared" si="58"/>
        <v>0</v>
      </c>
      <c r="I754" s="1"/>
      <c r="J754" s="3">
        <f t="shared" si="63"/>
        <v>2132.3499999999767</v>
      </c>
      <c r="K754" s="4">
        <f t="shared" si="61"/>
        <v>1172792.4999999872</v>
      </c>
    </row>
    <row r="755" spans="1:11" ht="18.75" x14ac:dyDescent="0.3">
      <c r="A755" s="2">
        <v>45092</v>
      </c>
      <c r="B755" s="3">
        <f>722428.11-722393.58</f>
        <v>34.53000000002794</v>
      </c>
      <c r="C755" s="3">
        <f>945130.27-943883.99</f>
        <v>1246.2800000000279</v>
      </c>
      <c r="D755" s="1">
        <f t="shared" si="64"/>
        <v>0</v>
      </c>
      <c r="E755" s="3">
        <f>346198.24-345712.19</f>
        <v>486.04999999998836</v>
      </c>
      <c r="F755" s="1">
        <f>995622.32-994942.33</f>
        <v>679.98999999999069</v>
      </c>
      <c r="G755" s="1">
        <f>580697.64-580675.14</f>
        <v>22.5</v>
      </c>
      <c r="H755" s="1">
        <f t="shared" si="58"/>
        <v>0</v>
      </c>
      <c r="I755" s="1"/>
      <c r="J755" s="3">
        <f t="shared" ref="J755:J765" si="65">SUM(B755:I755)</f>
        <v>2469.3500000000349</v>
      </c>
      <c r="K755" s="4">
        <f t="shared" si="61"/>
        <v>1358142.5000000191</v>
      </c>
    </row>
    <row r="756" spans="1:11" ht="18.75" x14ac:dyDescent="0.3">
      <c r="A756" s="2">
        <v>45093</v>
      </c>
      <c r="B756" s="3">
        <f>722428.11-722428.11</f>
        <v>0</v>
      </c>
      <c r="C756" s="3">
        <f>945952.26-945130.27</f>
        <v>821.98999999999069</v>
      </c>
      <c r="D756" s="1">
        <f t="shared" si="64"/>
        <v>0</v>
      </c>
      <c r="E756" s="3">
        <f>347234.27-346198.24</f>
        <v>1036.0300000000279</v>
      </c>
      <c r="F756" s="1">
        <f>996126.14-995622.32</f>
        <v>503.82000000006519</v>
      </c>
      <c r="G756" s="1">
        <f>580697.64-580697.64</f>
        <v>0</v>
      </c>
      <c r="H756" s="1">
        <f t="shared" si="58"/>
        <v>0</v>
      </c>
      <c r="I756" s="1"/>
      <c r="J756" s="3">
        <f t="shared" si="65"/>
        <v>2361.8400000000838</v>
      </c>
      <c r="K756" s="4">
        <f t="shared" si="61"/>
        <v>1299012.0000000461</v>
      </c>
    </row>
    <row r="757" spans="1:11" ht="18.75" x14ac:dyDescent="0.3">
      <c r="A757" s="2">
        <v>45094</v>
      </c>
      <c r="B757" s="3">
        <f>723143.47-722428.11</f>
        <v>715.35999999998603</v>
      </c>
      <c r="C757" s="3">
        <f>945952.26-945952.26</f>
        <v>0</v>
      </c>
      <c r="D757" s="1">
        <f t="shared" si="64"/>
        <v>0</v>
      </c>
      <c r="E757" s="3">
        <f>348287.02-347234.27</f>
        <v>1052.75</v>
      </c>
      <c r="F757" s="1">
        <f>996779.98-996126.14</f>
        <v>653.8399999999674</v>
      </c>
      <c r="G757" s="1">
        <f>580697.64-580697.64</f>
        <v>0</v>
      </c>
      <c r="H757" s="1">
        <f t="shared" si="58"/>
        <v>0</v>
      </c>
      <c r="I757" s="1"/>
      <c r="J757" s="3">
        <f t="shared" si="65"/>
        <v>2421.9499999999534</v>
      </c>
      <c r="K757" s="4">
        <f t="shared" si="61"/>
        <v>1332072.4999999744</v>
      </c>
    </row>
    <row r="758" spans="1:11" ht="18.75" x14ac:dyDescent="0.3">
      <c r="A758" s="2">
        <v>45095</v>
      </c>
      <c r="B758" s="3">
        <f>723143.47-723143.47</f>
        <v>0</v>
      </c>
      <c r="C758" s="3">
        <f>945952.26-945952.26</f>
        <v>0</v>
      </c>
      <c r="D758" s="1">
        <f t="shared" si="64"/>
        <v>0</v>
      </c>
      <c r="E758" s="3">
        <f>349183.27-348287.02</f>
        <v>896.25</v>
      </c>
      <c r="F758" s="1">
        <f>997366.17-996779.98</f>
        <v>586.19000000006054</v>
      </c>
      <c r="G758" s="1">
        <f>580697.64-580697.64</f>
        <v>0</v>
      </c>
      <c r="H758" s="1">
        <f t="shared" si="58"/>
        <v>0</v>
      </c>
      <c r="I758" s="1"/>
      <c r="J758" s="3">
        <f t="shared" si="65"/>
        <v>1482.4400000000605</v>
      </c>
      <c r="K758" s="4">
        <f t="shared" si="61"/>
        <v>815342.00000003329</v>
      </c>
    </row>
    <row r="759" spans="1:11" ht="18.75" x14ac:dyDescent="0.3">
      <c r="A759" s="2">
        <v>45096</v>
      </c>
      <c r="B759" s="3">
        <f>723540.78-723143.47</f>
        <v>397.31000000005588</v>
      </c>
      <c r="C759" s="3">
        <f>945952.26-945952.26</f>
        <v>0</v>
      </c>
      <c r="D759" s="1">
        <f t="shared" si="64"/>
        <v>0</v>
      </c>
      <c r="E759" s="3">
        <f>350513.24-349183.27</f>
        <v>1329.9699999999721</v>
      </c>
      <c r="F759" s="1">
        <f>997976.13-997366.17</f>
        <v>609.95999999996275</v>
      </c>
      <c r="G759" s="1">
        <f>580697.64-580697.64</f>
        <v>0</v>
      </c>
      <c r="H759" s="1">
        <f t="shared" si="58"/>
        <v>0</v>
      </c>
      <c r="I759" s="1"/>
      <c r="J759" s="3">
        <f t="shared" si="65"/>
        <v>2337.2399999999907</v>
      </c>
      <c r="K759" s="4">
        <f t="shared" si="61"/>
        <v>1285481.9999999949</v>
      </c>
    </row>
    <row r="760" spans="1:11" ht="18.75" x14ac:dyDescent="0.3">
      <c r="A760" s="2">
        <v>45097</v>
      </c>
      <c r="B760" s="3">
        <f>723540.78-723540.78</f>
        <v>0</v>
      </c>
      <c r="C760" s="3">
        <f>945952.26-945952.26</f>
        <v>0</v>
      </c>
      <c r="D760" s="1">
        <f t="shared" si="64"/>
        <v>0</v>
      </c>
      <c r="E760" s="3">
        <f>352415.36-350513.24</f>
        <v>1902.1199999999953</v>
      </c>
      <c r="F760" s="1">
        <f>998410.1-997976.13</f>
        <v>433.96999999997206</v>
      </c>
      <c r="G760" s="1">
        <f>580697.64-580697.64</f>
        <v>0</v>
      </c>
      <c r="H760" s="1">
        <f t="shared" si="58"/>
        <v>0</v>
      </c>
      <c r="I760" s="1"/>
      <c r="J760" s="3">
        <f t="shared" si="65"/>
        <v>2336.0899999999674</v>
      </c>
      <c r="K760" s="4">
        <f t="shared" si="61"/>
        <v>1284849.4999999821</v>
      </c>
    </row>
    <row r="761" spans="1:11" ht="18.75" x14ac:dyDescent="0.3">
      <c r="A761" s="2">
        <v>45098</v>
      </c>
      <c r="B761" s="3">
        <f>724129.76-723540.78</f>
        <v>588.97999999998137</v>
      </c>
      <c r="C761" s="3">
        <f>947432.56-945952.26</f>
        <v>1480.3000000000466</v>
      </c>
      <c r="D761" s="1">
        <f t="shared" si="64"/>
        <v>0</v>
      </c>
      <c r="E761" s="3">
        <f>352415.36-352415.36</f>
        <v>0</v>
      </c>
      <c r="F761" s="1">
        <f>998455.63-998410.1</f>
        <v>45.53000000002794</v>
      </c>
      <c r="G761" s="1">
        <f>581055.69-580697.64</f>
        <v>358.04999999993015</v>
      </c>
      <c r="H761" s="1">
        <f t="shared" si="58"/>
        <v>0</v>
      </c>
      <c r="I761" s="1"/>
      <c r="J761" s="3">
        <f t="shared" si="65"/>
        <v>2472.859999999986</v>
      </c>
      <c r="K761" s="4">
        <f t="shared" si="61"/>
        <v>1360072.9999999923</v>
      </c>
    </row>
    <row r="762" spans="1:11" ht="18.75" x14ac:dyDescent="0.3">
      <c r="A762" s="2">
        <v>45099</v>
      </c>
      <c r="B762" s="3">
        <f>724129.76-724129.76</f>
        <v>0</v>
      </c>
      <c r="C762" s="3">
        <f>947432.56-947432.56</f>
        <v>0</v>
      </c>
      <c r="D762" s="1">
        <f t="shared" si="64"/>
        <v>0</v>
      </c>
      <c r="E762" s="3">
        <f>354030.62-352415.36</f>
        <v>1615.2600000000093</v>
      </c>
      <c r="F762" s="1">
        <f>998455.63-998455.63</f>
        <v>0</v>
      </c>
      <c r="G762" s="1">
        <f>581654.5-581055.69</f>
        <v>598.81000000005588</v>
      </c>
      <c r="H762" s="1">
        <f t="shared" si="58"/>
        <v>0</v>
      </c>
      <c r="I762" s="1"/>
      <c r="J762" s="3">
        <f t="shared" si="65"/>
        <v>2214.0700000000652</v>
      </c>
      <c r="K762" s="4">
        <f t="shared" si="61"/>
        <v>1217738.5000000359</v>
      </c>
    </row>
    <row r="763" spans="1:11" ht="18.75" x14ac:dyDescent="0.3">
      <c r="A763" s="2">
        <v>45100</v>
      </c>
      <c r="B763" s="3">
        <f>724131.41-724129.76</f>
        <v>1.6500000000232831</v>
      </c>
      <c r="C763" s="3">
        <f>948005.8-947432.56</f>
        <v>573.23999999999069</v>
      </c>
      <c r="D763" s="1">
        <f t="shared" si="64"/>
        <v>0</v>
      </c>
      <c r="E763" s="3">
        <f>354030.62-354030.62</f>
        <v>0</v>
      </c>
      <c r="F763" s="1">
        <f>998455.63-998455.63</f>
        <v>0</v>
      </c>
      <c r="G763" s="1">
        <f>582984.85-581654.5</f>
        <v>1330.3499999999767</v>
      </c>
      <c r="H763" s="1">
        <f t="shared" si="58"/>
        <v>0</v>
      </c>
      <c r="I763" s="1"/>
      <c r="J763" s="3">
        <f t="shared" si="65"/>
        <v>1905.2399999999907</v>
      </c>
      <c r="K763" s="4">
        <f t="shared" si="61"/>
        <v>1047881.9999999949</v>
      </c>
    </row>
    <row r="764" spans="1:11" ht="18.75" x14ac:dyDescent="0.3">
      <c r="A764" s="2">
        <v>45101</v>
      </c>
      <c r="B764" s="3">
        <f>724131.71-724131.41</f>
        <v>0.29999999993015081</v>
      </c>
      <c r="C764" s="3">
        <f>948597.19-948005.8</f>
        <v>591.38999999989755</v>
      </c>
      <c r="D764" s="1">
        <f t="shared" si="64"/>
        <v>0</v>
      </c>
      <c r="E764" s="3">
        <f>354913.41-354030.62</f>
        <v>882.78999999997905</v>
      </c>
      <c r="F764" s="1">
        <f>998763.03-998455.63</f>
        <v>307.40000000002328</v>
      </c>
      <c r="G764" s="1">
        <f>584045.41-582984.85</f>
        <v>1060.5600000000559</v>
      </c>
      <c r="H764" s="1">
        <f t="shared" si="58"/>
        <v>0</v>
      </c>
      <c r="I764" s="1"/>
      <c r="J764" s="3">
        <f t="shared" si="65"/>
        <v>2842.4399999998859</v>
      </c>
      <c r="K764" s="4">
        <f t="shared" si="61"/>
        <v>1563341.9999999371</v>
      </c>
    </row>
    <row r="765" spans="1:11" ht="18.75" x14ac:dyDescent="0.3">
      <c r="A765" s="2">
        <v>45102</v>
      </c>
      <c r="B765" s="3">
        <f t="shared" ref="B765:B770" si="66">724131.71-724131.71</f>
        <v>0</v>
      </c>
      <c r="C765" s="3">
        <f>948597.19-948597.19</f>
        <v>0</v>
      </c>
      <c r="D765" s="1">
        <f t="shared" si="64"/>
        <v>0</v>
      </c>
      <c r="E765" s="3">
        <f>355670.25-354913.41</f>
        <v>756.84000000002561</v>
      </c>
      <c r="F765" s="1">
        <f>1000446.15-998763.03</f>
        <v>1683.1199999999953</v>
      </c>
      <c r="G765" s="1">
        <f t="shared" ref="G765:G770" si="67">584045.41-584045.41</f>
        <v>0</v>
      </c>
      <c r="H765" s="1">
        <f t="shared" si="58"/>
        <v>0</v>
      </c>
      <c r="I765" s="1"/>
      <c r="J765" s="3">
        <f t="shared" si="65"/>
        <v>2439.960000000021</v>
      </c>
      <c r="K765" s="4">
        <f t="shared" si="61"/>
        <v>1341978.0000000116</v>
      </c>
    </row>
    <row r="766" spans="1:11" ht="18.75" x14ac:dyDescent="0.3">
      <c r="A766" s="2">
        <v>45103</v>
      </c>
      <c r="B766" s="3">
        <f t="shared" si="66"/>
        <v>0</v>
      </c>
      <c r="C766" s="3">
        <f>949918.6-948597.19</f>
        <v>1321.4100000000326</v>
      </c>
      <c r="D766" s="1">
        <f t="shared" si="64"/>
        <v>0</v>
      </c>
      <c r="E766" s="3">
        <f>357172.62-355670.25</f>
        <v>1502.3699999999953</v>
      </c>
      <c r="F766" s="1">
        <f>446.15-446.15</f>
        <v>0</v>
      </c>
      <c r="G766" s="1">
        <f t="shared" si="67"/>
        <v>0</v>
      </c>
      <c r="H766" s="1">
        <f t="shared" si="58"/>
        <v>0</v>
      </c>
      <c r="I766" s="1"/>
      <c r="J766" s="3">
        <f t="shared" ref="J766:J767" si="68">SUM(B766:I766)</f>
        <v>2823.7800000000279</v>
      </c>
      <c r="K766" s="4">
        <f t="shared" si="61"/>
        <v>1553079.0000000154</v>
      </c>
    </row>
    <row r="767" spans="1:11" ht="18.75" x14ac:dyDescent="0.3">
      <c r="A767" s="2">
        <v>45104</v>
      </c>
      <c r="B767" s="3">
        <f t="shared" si="66"/>
        <v>0</v>
      </c>
      <c r="C767" s="3">
        <f>951014.65-949918.6</f>
        <v>1096.0500000000466</v>
      </c>
      <c r="D767" s="1">
        <f t="shared" si="64"/>
        <v>0</v>
      </c>
      <c r="E767" s="3">
        <f>357172.62-357172.62</f>
        <v>0</v>
      </c>
      <c r="F767" s="1">
        <f>1719.51-446.15</f>
        <v>1273.3600000000001</v>
      </c>
      <c r="G767" s="1">
        <f t="shared" si="67"/>
        <v>0</v>
      </c>
      <c r="H767" s="1">
        <f t="shared" si="58"/>
        <v>0</v>
      </c>
      <c r="I767" s="1"/>
      <c r="J767" s="3">
        <f t="shared" si="68"/>
        <v>2369.4100000000467</v>
      </c>
      <c r="K767" s="4">
        <f t="shared" si="61"/>
        <v>1303175.5000000256</v>
      </c>
    </row>
    <row r="768" spans="1:11" ht="18.75" x14ac:dyDescent="0.3">
      <c r="A768" s="2">
        <v>45105</v>
      </c>
      <c r="B768" s="3">
        <f t="shared" si="66"/>
        <v>0</v>
      </c>
      <c r="C768" s="3">
        <f>951191.43-951014.65</f>
        <v>176.78000000002794</v>
      </c>
      <c r="D768" s="1">
        <f t="shared" si="64"/>
        <v>0</v>
      </c>
      <c r="E768" s="3">
        <f>357172.62-357172.62</f>
        <v>0</v>
      </c>
      <c r="F768" s="1">
        <f>3183.88-1719.51</f>
        <v>1464.3700000000001</v>
      </c>
      <c r="G768" s="1">
        <f t="shared" si="67"/>
        <v>0</v>
      </c>
      <c r="H768" s="1">
        <f t="shared" si="58"/>
        <v>0</v>
      </c>
      <c r="I768" s="1"/>
      <c r="J768" s="3">
        <f t="shared" ref="J768" si="69">SUM(B768:I768)</f>
        <v>1641.1500000000281</v>
      </c>
      <c r="K768" s="4">
        <f t="shared" si="61"/>
        <v>902632.50000001548</v>
      </c>
    </row>
    <row r="769" spans="1:11" ht="18.75" x14ac:dyDescent="0.3">
      <c r="A769" s="2">
        <v>45106</v>
      </c>
      <c r="B769" s="3">
        <f t="shared" si="66"/>
        <v>0</v>
      </c>
      <c r="C769" s="3">
        <f>952991.92-951191.43</f>
        <v>1800.4899999999907</v>
      </c>
      <c r="D769" s="1">
        <f t="shared" si="64"/>
        <v>0</v>
      </c>
      <c r="E769" s="3">
        <f>357172.62-357172.62</f>
        <v>0</v>
      </c>
      <c r="F769" s="1">
        <f>4188.46-3183.88</f>
        <v>1004.5799999999999</v>
      </c>
      <c r="G769" s="1">
        <f t="shared" si="67"/>
        <v>0</v>
      </c>
      <c r="H769" s="1">
        <f t="shared" si="58"/>
        <v>0</v>
      </c>
      <c r="I769" s="1"/>
      <c r="J769" s="3">
        <f t="shared" ref="J769" si="70">SUM(B769:I769)</f>
        <v>2805.0699999999906</v>
      </c>
      <c r="K769" s="4">
        <f t="shared" si="61"/>
        <v>1542788.4999999949</v>
      </c>
    </row>
    <row r="770" spans="1:11" ht="18.75" x14ac:dyDescent="0.3">
      <c r="A770" s="2">
        <v>45107</v>
      </c>
      <c r="B770" s="3">
        <f t="shared" si="66"/>
        <v>0</v>
      </c>
      <c r="C770" s="3">
        <f>954884.51-952991.92</f>
        <v>1892.5899999999674</v>
      </c>
      <c r="D770" s="1">
        <f t="shared" si="64"/>
        <v>0</v>
      </c>
      <c r="E770" s="3">
        <f>357172.62-357172.62</f>
        <v>0</v>
      </c>
      <c r="F770" s="1">
        <f>5082.56-4188.46</f>
        <v>894.10000000000036</v>
      </c>
      <c r="G770" s="1">
        <f t="shared" si="67"/>
        <v>0</v>
      </c>
      <c r="H770" s="1">
        <f t="shared" si="58"/>
        <v>0</v>
      </c>
      <c r="I770" s="1"/>
      <c r="J770" s="3">
        <f t="shared" ref="J770" si="71">SUM(B770:I770)</f>
        <v>2786.6899999999678</v>
      </c>
      <c r="K770" s="4">
        <f t="shared" si="61"/>
        <v>1532679.4999999823</v>
      </c>
    </row>
    <row r="771" spans="1:11" ht="18.75" x14ac:dyDescent="0.3">
      <c r="A771" s="2"/>
      <c r="B771" s="3"/>
      <c r="C771" s="3"/>
      <c r="D771" s="3"/>
      <c r="E771" s="1"/>
      <c r="F771" s="1"/>
      <c r="G771" s="1"/>
      <c r="H771" s="1"/>
      <c r="I771" s="1"/>
      <c r="J771" s="6"/>
      <c r="K771" s="3"/>
    </row>
    <row r="772" spans="1:11" ht="18.75" x14ac:dyDescent="0.3">
      <c r="A772" s="5" t="s">
        <v>10</v>
      </c>
      <c r="B772" s="5" t="s">
        <v>10</v>
      </c>
      <c r="C772" s="5" t="s">
        <v>10</v>
      </c>
      <c r="D772" s="5" t="s">
        <v>10</v>
      </c>
      <c r="E772" s="5" t="s">
        <v>10</v>
      </c>
      <c r="F772" s="5" t="s">
        <v>10</v>
      </c>
      <c r="G772" s="5" t="s">
        <v>10</v>
      </c>
      <c r="H772" s="5" t="s">
        <v>10</v>
      </c>
      <c r="I772" s="5" t="s">
        <v>10</v>
      </c>
      <c r="J772" s="5" t="s">
        <v>10</v>
      </c>
      <c r="K772" s="5" t="s">
        <v>10</v>
      </c>
    </row>
    <row r="773" spans="1:11" ht="18.75" x14ac:dyDescent="0.3">
      <c r="A773" s="6" t="s">
        <v>11</v>
      </c>
      <c r="B773" s="6">
        <f t="shared" ref="B773:K773" si="72">SUM(B741:B772)</f>
        <v>6085.859999999986</v>
      </c>
      <c r="C773" s="6">
        <f t="shared" si="72"/>
        <v>18703.829999999958</v>
      </c>
      <c r="D773" s="6">
        <f t="shared" si="72"/>
        <v>7044.3300000000163</v>
      </c>
      <c r="E773" s="6">
        <f t="shared" si="72"/>
        <v>12082.510000000009</v>
      </c>
      <c r="F773" s="6">
        <f t="shared" si="72"/>
        <v>15330.779999999997</v>
      </c>
      <c r="G773" s="6">
        <f t="shared" si="72"/>
        <v>7578.2200000000885</v>
      </c>
      <c r="H773" s="6">
        <f t="shared" si="72"/>
        <v>0</v>
      </c>
      <c r="I773" s="6">
        <f t="shared" si="72"/>
        <v>0</v>
      </c>
      <c r="J773" s="6">
        <f t="shared" si="72"/>
        <v>66825.530000000057</v>
      </c>
      <c r="K773" s="6">
        <f t="shared" si="72"/>
        <v>36754041.50000003</v>
      </c>
    </row>
    <row r="774" spans="1:11" ht="18.75" x14ac:dyDescent="0.3">
      <c r="A774" s="5" t="s">
        <v>10</v>
      </c>
      <c r="B774" s="5" t="s">
        <v>12</v>
      </c>
      <c r="C774" s="5" t="s">
        <v>12</v>
      </c>
      <c r="D774" s="5" t="s">
        <v>12</v>
      </c>
      <c r="E774" s="5" t="s">
        <v>12</v>
      </c>
      <c r="F774" s="5" t="s">
        <v>12</v>
      </c>
      <c r="G774" s="5" t="s">
        <v>12</v>
      </c>
      <c r="H774" s="5" t="s">
        <v>12</v>
      </c>
      <c r="I774" s="5" t="s">
        <v>12</v>
      </c>
      <c r="J774" s="5" t="s">
        <v>12</v>
      </c>
      <c r="K774" s="5" t="s">
        <v>13</v>
      </c>
    </row>
    <row r="775" spans="1:11" ht="18.75" x14ac:dyDescent="0.3">
      <c r="A775" s="6" t="s">
        <v>14</v>
      </c>
      <c r="B775" s="6">
        <f>21900+5300</f>
        <v>27200</v>
      </c>
      <c r="C775" s="6">
        <v>0</v>
      </c>
      <c r="D775" s="7">
        <f>20150</f>
        <v>20150</v>
      </c>
      <c r="E775" s="6"/>
      <c r="F775" s="7">
        <f>20400+9650</f>
        <v>30050</v>
      </c>
      <c r="G775" s="6">
        <v>0</v>
      </c>
      <c r="H775" s="6">
        <v>0</v>
      </c>
      <c r="I775" s="6">
        <v>0</v>
      </c>
      <c r="J775" s="6">
        <f>SUM(B775:I775)</f>
        <v>77400</v>
      </c>
      <c r="K775" s="8">
        <f>J775*303.21</f>
        <v>23468454</v>
      </c>
    </row>
    <row r="776" spans="1:11" ht="18.75" x14ac:dyDescent="0.3">
      <c r="A776" s="6" t="s">
        <v>14</v>
      </c>
      <c r="B776" s="6">
        <f>B775-B773-C773+40</f>
        <v>2450.3100000000559</v>
      </c>
      <c r="C776" s="6">
        <v>0</v>
      </c>
      <c r="D776" s="7">
        <f>D775-D773-E773-223</f>
        <v>800.15999999997439</v>
      </c>
      <c r="E776" s="6"/>
      <c r="F776" s="7">
        <f>F775-F773-G773-H773-I773-491</f>
        <v>6649.9999999999145</v>
      </c>
      <c r="G776" s="6">
        <v>0</v>
      </c>
      <c r="H776" s="6">
        <f>H775</f>
        <v>0</v>
      </c>
      <c r="I776" s="6">
        <v>0</v>
      </c>
      <c r="J776" s="6">
        <f>SUM(B776:I776)</f>
        <v>9900.4699999999448</v>
      </c>
      <c r="K776" s="8">
        <f>J776*522.26</f>
        <v>5170619.4621999711</v>
      </c>
    </row>
    <row r="777" spans="1:11" ht="18.75" x14ac:dyDescent="0.3">
      <c r="A777" s="6"/>
      <c r="B777" s="6">
        <v>0</v>
      </c>
      <c r="C777" s="6">
        <v>0</v>
      </c>
      <c r="D777" s="6">
        <v>0</v>
      </c>
      <c r="E777" s="6"/>
      <c r="F777" s="6">
        <v>0</v>
      </c>
      <c r="G777" s="6">
        <v>0</v>
      </c>
      <c r="H777" s="6"/>
      <c r="I777" s="6">
        <v>0</v>
      </c>
      <c r="J777" s="6">
        <v>0</v>
      </c>
      <c r="K777" s="5" t="s">
        <v>15</v>
      </c>
    </row>
    <row r="778" spans="1:11" ht="18.75" x14ac:dyDescent="0.3">
      <c r="A778" s="6" t="s">
        <v>16</v>
      </c>
      <c r="B778" s="6">
        <f>B776+B773+C773+D773+E773-B775</f>
        <v>19166.840000000026</v>
      </c>
      <c r="C778" s="6">
        <v>0</v>
      </c>
      <c r="D778" s="6">
        <v>0</v>
      </c>
      <c r="E778" s="9">
        <f>D778/10</f>
        <v>0</v>
      </c>
      <c r="F778" s="6">
        <f>F776+F773+G773+H773+I773-F775</f>
        <v>-491</v>
      </c>
      <c r="G778" s="6">
        <v>0</v>
      </c>
      <c r="H778" s="6">
        <v>0</v>
      </c>
      <c r="I778" s="6">
        <v>0</v>
      </c>
      <c r="J778" s="6">
        <f>SUM(B778:I778)</f>
        <v>18675.840000000026</v>
      </c>
      <c r="K778" s="6"/>
    </row>
    <row r="779" spans="1:11" ht="18.75" x14ac:dyDescent="0.3">
      <c r="A779" s="6">
        <v>0</v>
      </c>
      <c r="B779" s="6">
        <v>0</v>
      </c>
      <c r="C779" s="6">
        <v>0</v>
      </c>
      <c r="D779" s="6">
        <v>0</v>
      </c>
      <c r="E779" s="6"/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</row>
    <row r="780" spans="1:11" ht="18.75" x14ac:dyDescent="0.3">
      <c r="A780" s="6">
        <v>0</v>
      </c>
      <c r="B780" s="6">
        <f>B775-B776</f>
        <v>24749.689999999944</v>
      </c>
      <c r="C780" s="6" t="s">
        <v>17</v>
      </c>
      <c r="D780" s="6">
        <v>0</v>
      </c>
      <c r="E780" s="6"/>
      <c r="F780" s="6">
        <f>F775-F776</f>
        <v>23400.000000000087</v>
      </c>
      <c r="G780" s="6">
        <v>0</v>
      </c>
      <c r="H780" s="6">
        <v>0</v>
      </c>
      <c r="I780" s="6">
        <f>I775-I776</f>
        <v>0</v>
      </c>
      <c r="J780" s="6">
        <f>J775-J776</f>
        <v>67499.530000000057</v>
      </c>
      <c r="K780" s="10">
        <v>0</v>
      </c>
    </row>
    <row r="781" spans="1:11" ht="18.75" x14ac:dyDescent="0.3">
      <c r="A781" s="6">
        <v>0</v>
      </c>
      <c r="B781" s="6">
        <f>B780/20*0.2</f>
        <v>247.49689999999947</v>
      </c>
      <c r="C781" s="6">
        <v>0</v>
      </c>
      <c r="D781" s="6">
        <v>0</v>
      </c>
      <c r="E781" s="6"/>
      <c r="F781" s="6">
        <f>F780/20*0.2</f>
        <v>234.00000000000088</v>
      </c>
      <c r="G781" s="6">
        <v>0</v>
      </c>
      <c r="H781" s="6">
        <v>0</v>
      </c>
      <c r="I781" s="6">
        <f>I780/20*0.6</f>
        <v>0</v>
      </c>
      <c r="J781" s="6">
        <f>J780/20*0.6</f>
        <v>2024.9859000000017</v>
      </c>
      <c r="K781" s="11">
        <v>0</v>
      </c>
    </row>
    <row r="782" spans="1:11" ht="18.75" x14ac:dyDescent="0.3">
      <c r="A782" s="6">
        <v>0</v>
      </c>
      <c r="B782" s="6">
        <f>B778-B781</f>
        <v>18919.343100000027</v>
      </c>
      <c r="C782" s="6">
        <v>0</v>
      </c>
      <c r="D782" s="6">
        <v>0</v>
      </c>
      <c r="E782" s="6">
        <v>0</v>
      </c>
      <c r="F782" s="6">
        <f>F778-F781</f>
        <v>-725.00000000000091</v>
      </c>
      <c r="G782" s="6">
        <v>0</v>
      </c>
      <c r="H782" s="6">
        <v>0</v>
      </c>
      <c r="I782" s="6">
        <f>I778-I781</f>
        <v>0</v>
      </c>
      <c r="J782" s="6">
        <f>J778-J781</f>
        <v>16650.854100000022</v>
      </c>
      <c r="K782" s="6" t="s">
        <v>18</v>
      </c>
    </row>
    <row r="783" spans="1:11" ht="18.75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ht="18.75" x14ac:dyDescent="0.3">
      <c r="A784" s="6">
        <v>0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10">
        <v>0</v>
      </c>
      <c r="I784" s="6">
        <f>I779-I782</f>
        <v>0</v>
      </c>
      <c r="J784" s="6">
        <v>0</v>
      </c>
      <c r="K784" s="6"/>
    </row>
    <row r="785" spans="1:11" ht="18.75" x14ac:dyDescent="0.3">
      <c r="A785" s="6"/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f>I780-I784</f>
        <v>0</v>
      </c>
      <c r="J785" s="6">
        <v>0</v>
      </c>
      <c r="K785" s="10">
        <v>0</v>
      </c>
    </row>
    <row r="786" spans="1:11" ht="18.75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ht="18.75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ht="18.75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ht="18.75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ht="18.75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9"/>
      <c r="K790" s="6"/>
    </row>
    <row r="791" spans="1:11" ht="18.75" x14ac:dyDescent="0.3">
      <c r="A791" s="6"/>
      <c r="B791" s="12"/>
      <c r="C791" s="12"/>
      <c r="D791" s="12"/>
      <c r="E791" s="12"/>
      <c r="F791" s="12"/>
      <c r="G791" s="12"/>
      <c r="H791" s="12"/>
      <c r="I791" s="12"/>
      <c r="J791" s="9"/>
      <c r="K791" s="6"/>
    </row>
    <row r="792" spans="1:11" ht="18.75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9"/>
      <c r="K792" s="6"/>
    </row>
    <row r="793" spans="1:11" ht="18.75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9"/>
      <c r="K793" s="6"/>
    </row>
    <row r="794" spans="1:11" ht="18.75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9"/>
      <c r="K794" s="6"/>
    </row>
    <row r="795" spans="1:11" ht="18.75" x14ac:dyDescent="0.3">
      <c r="A795" s="6"/>
      <c r="B795" s="12"/>
      <c r="C795" s="12"/>
      <c r="D795" s="6"/>
      <c r="E795" s="12"/>
      <c r="F795" s="12"/>
      <c r="G795" s="12"/>
      <c r="H795" s="6"/>
      <c r="I795" s="6"/>
      <c r="J795" s="9"/>
      <c r="K795" s="6"/>
    </row>
    <row r="796" spans="1:11" ht="18.75" x14ac:dyDescent="0.3">
      <c r="A796" s="6"/>
      <c r="B796" s="12"/>
      <c r="C796" s="12"/>
      <c r="D796" s="12"/>
      <c r="E796" s="12"/>
      <c r="F796" s="12"/>
      <c r="G796" s="6"/>
      <c r="H796" s="6"/>
      <c r="I796" s="6"/>
      <c r="J796" s="9"/>
      <c r="K796" s="6"/>
    </row>
    <row r="797" spans="1:11" ht="18.75" x14ac:dyDescent="0.3">
      <c r="A797" s="12"/>
      <c r="B797" s="12"/>
      <c r="C797" s="12"/>
      <c r="D797" s="6"/>
      <c r="E797" s="6"/>
      <c r="F797" s="6"/>
      <c r="G797" s="6"/>
      <c r="H797" s="6"/>
      <c r="I797" s="6"/>
      <c r="J797" s="9"/>
      <c r="K797" s="6"/>
    </row>
    <row r="798" spans="1:11" ht="18.75" x14ac:dyDescent="0.3">
      <c r="A798" s="12"/>
      <c r="B798" s="12"/>
      <c r="C798" s="12"/>
      <c r="D798" s="6"/>
      <c r="E798" s="6"/>
      <c r="F798" s="6"/>
      <c r="G798" s="6"/>
      <c r="H798" s="6"/>
      <c r="I798" s="6"/>
      <c r="J798" s="6"/>
      <c r="K798" s="6"/>
    </row>
    <row r="799" spans="1:11" ht="18.75" x14ac:dyDescent="0.3">
      <c r="A799" s="12"/>
      <c r="B799" s="12"/>
      <c r="C799" s="6"/>
      <c r="D799" s="6"/>
      <c r="E799" s="6"/>
      <c r="F799" s="6"/>
      <c r="G799" s="6"/>
      <c r="H799" s="6"/>
      <c r="I799" s="6"/>
      <c r="J799" s="6"/>
      <c r="K799" s="6"/>
    </row>
    <row r="800" spans="1:11" ht="18.75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ht="18.75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ht="18.75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ht="18.75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ht="18.75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ht="18.75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ht="18.75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ht="18.75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ht="18.75" x14ac:dyDescent="0.3">
      <c r="A808" s="12"/>
      <c r="B808" s="12"/>
      <c r="C808" s="6"/>
      <c r="D808" s="6"/>
      <c r="E808" s="6"/>
      <c r="F808" s="6"/>
      <c r="G808" s="6"/>
      <c r="H808" s="6"/>
      <c r="I808" s="6"/>
      <c r="J808" s="6"/>
      <c r="K808" s="6"/>
    </row>
    <row r="809" spans="1:11" ht="18.75" x14ac:dyDescent="0.3">
      <c r="A809" s="12"/>
      <c r="B809" s="12"/>
      <c r="C809" s="6"/>
      <c r="D809" s="6"/>
      <c r="E809" s="6"/>
      <c r="F809" s="6"/>
      <c r="G809" s="6"/>
      <c r="H809" s="6"/>
      <c r="I809" s="6"/>
      <c r="J809" s="6"/>
      <c r="K809" s="6"/>
    </row>
    <row r="810" spans="1:11" ht="18.75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ht="18.75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ht="18.75" x14ac:dyDescent="0.3">
      <c r="A812" s="6"/>
      <c r="B812" s="6"/>
      <c r="C812" s="12"/>
      <c r="D812" s="12"/>
      <c r="E812" s="6"/>
      <c r="F812" s="6"/>
      <c r="G812" s="6"/>
      <c r="H812" s="6"/>
      <c r="I812" s="6"/>
      <c r="J812" s="6"/>
      <c r="K812" s="6"/>
    </row>
    <row r="813" spans="1:11" ht="18.75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ht="18.75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ht="18.75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ht="18.75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ht="18.75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ht="18.75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ht="18.75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ht="18.75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ht="18.75" x14ac:dyDescent="0.3">
      <c r="A821" s="6"/>
      <c r="B821" s="12"/>
      <c r="C821" s="12"/>
      <c r="D821" s="12"/>
      <c r="E821" s="12"/>
      <c r="F821" s="12"/>
      <c r="G821" s="6"/>
      <c r="H821" s="12"/>
      <c r="I821" s="6"/>
      <c r="J821" s="6"/>
      <c r="K821" s="6"/>
    </row>
    <row r="822" spans="1:11" ht="18.75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ht="18.75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ht="18.75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ht="18.75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ht="18.75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ht="18.75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ht="18.75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ht="18.75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ht="18.75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ht="18.75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ht="18.75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ht="18.75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ht="18.75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ht="18.75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ht="18.75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ht="18.75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ht="18.75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ht="18.75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ht="18.75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ht="18.75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ht="18.75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ht="18.75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ht="18.75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ht="18.75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ht="18.75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ht="18.75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ht="18.75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ht="18.75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ht="18.75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ht="18.7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8.7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8.75" x14ac:dyDescent="0.3">
      <c r="A853" s="6"/>
      <c r="B853" s="7"/>
      <c r="C853" s="1"/>
      <c r="D853" s="1"/>
      <c r="E853" s="1"/>
      <c r="F853" s="1"/>
      <c r="G853" s="1"/>
      <c r="H853" s="1"/>
      <c r="I853" s="1"/>
      <c r="J853" s="6"/>
      <c r="K853" s="1"/>
    </row>
    <row r="854" spans="1:11" ht="18.75" x14ac:dyDescent="0.3">
      <c r="A854" s="6"/>
      <c r="B854" s="7"/>
      <c r="C854" s="1"/>
      <c r="D854" s="1"/>
      <c r="E854" s="1"/>
      <c r="F854" s="1"/>
      <c r="G854" s="1"/>
      <c r="H854" s="1"/>
      <c r="I854" s="1"/>
      <c r="J854" s="6"/>
      <c r="K854" s="1"/>
    </row>
    <row r="855" spans="1:11" ht="18.75" x14ac:dyDescent="0.3">
      <c r="A855" s="6"/>
      <c r="B855" s="7"/>
      <c r="C855" s="1"/>
      <c r="D855" s="1"/>
      <c r="E855" s="1"/>
      <c r="F855" s="1"/>
      <c r="G855" s="1"/>
      <c r="H855" s="1"/>
      <c r="I855" s="1"/>
      <c r="J855" s="6"/>
      <c r="K855" s="1"/>
    </row>
    <row r="856" spans="1:11" ht="18.75" x14ac:dyDescent="0.3">
      <c r="A856" s="6"/>
      <c r="B856" s="7"/>
      <c r="C856" s="1"/>
      <c r="D856" s="1"/>
      <c r="E856" s="1"/>
      <c r="F856" s="1"/>
      <c r="G856" s="1"/>
      <c r="H856" s="1"/>
      <c r="I856" s="1"/>
      <c r="J856" s="6"/>
      <c r="K856" s="1"/>
    </row>
    <row r="857" spans="1:11" ht="18.75" x14ac:dyDescent="0.3">
      <c r="A857" s="6"/>
      <c r="B857" s="7"/>
      <c r="C857" s="1"/>
      <c r="D857" s="1"/>
      <c r="E857" s="1"/>
      <c r="F857" s="1"/>
      <c r="G857" s="1"/>
      <c r="H857" s="1"/>
      <c r="I857" s="1"/>
      <c r="J857" s="6"/>
      <c r="K857" s="1"/>
    </row>
    <row r="858" spans="1:11" ht="18.75" x14ac:dyDescent="0.3">
      <c r="A858" s="6"/>
      <c r="B858" s="7"/>
      <c r="C858" s="1"/>
      <c r="D858" s="1"/>
      <c r="E858" s="1"/>
      <c r="F858" s="1"/>
      <c r="G858" s="1"/>
      <c r="H858" s="1"/>
      <c r="I858" s="1"/>
      <c r="J858" s="6"/>
      <c r="K858" s="1"/>
    </row>
    <row r="859" spans="1:11" ht="18.75" x14ac:dyDescent="0.3">
      <c r="A859" s="6"/>
      <c r="B859" s="7"/>
      <c r="C859" s="1"/>
      <c r="D859" s="1"/>
      <c r="E859" s="1"/>
      <c r="F859" s="1"/>
      <c r="G859" s="1"/>
      <c r="H859" s="1"/>
      <c r="I859" s="1"/>
      <c r="J859" s="6"/>
      <c r="K859" s="1"/>
    </row>
    <row r="860" spans="1:11" ht="18.75" x14ac:dyDescent="0.3">
      <c r="A860" s="6"/>
      <c r="B860" s="7"/>
      <c r="C860" s="1"/>
      <c r="D860" s="1"/>
      <c r="E860" s="1"/>
      <c r="F860" s="1"/>
      <c r="G860" s="1"/>
      <c r="H860" s="1"/>
      <c r="I860" s="1"/>
      <c r="J860" s="6"/>
      <c r="K860" s="1"/>
    </row>
    <row r="861" spans="1:11" ht="18.75" x14ac:dyDescent="0.3">
      <c r="A861" s="6"/>
      <c r="B861" s="7"/>
      <c r="C861" s="1"/>
      <c r="D861" s="1"/>
      <c r="E861" s="1"/>
      <c r="F861" s="1"/>
      <c r="G861" s="1"/>
      <c r="H861" s="1"/>
      <c r="I861" s="1"/>
      <c r="J861" s="6"/>
      <c r="K861" s="1"/>
    </row>
    <row r="862" spans="1:11" ht="18.75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ht="18.75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ht="18.75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ht="18.75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ht="18.75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ht="18.75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ht="18.75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ht="18.75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ht="18.75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ht="18.75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ht="18.75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ht="18.75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ht="18.75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ht="18.75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ht="18.75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ht="18.75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ht="18.75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ht="18.75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ht="18.75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ht="18.75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ht="18.75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ht="18.75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ht="18.75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ht="18.75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ht="18.75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ht="18.75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ht="18.75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ht="18.75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ht="18.75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ht="18.75" x14ac:dyDescent="0.3">
      <c r="A891" s="1" t="s">
        <v>23</v>
      </c>
      <c r="B891" s="1"/>
      <c r="C891" s="6"/>
      <c r="D891" s="6"/>
      <c r="E891" s="6"/>
      <c r="F891" s="6"/>
      <c r="G891" s="6"/>
      <c r="H891" s="6"/>
      <c r="I891" s="6"/>
      <c r="J891" s="6"/>
      <c r="K891" s="6"/>
    </row>
    <row r="892" spans="1:11" ht="18.7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8.7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 t="s">
        <v>0</v>
      </c>
      <c r="K893" s="1" t="s">
        <v>20</v>
      </c>
    </row>
    <row r="894" spans="1:11" ht="18.75" x14ac:dyDescent="0.3">
      <c r="A894" s="1"/>
      <c r="B894" s="1" t="s">
        <v>2</v>
      </c>
      <c r="C894" s="1" t="s">
        <v>3</v>
      </c>
      <c r="D894" s="1" t="s">
        <v>4</v>
      </c>
      <c r="E894" s="1" t="s">
        <v>5</v>
      </c>
      <c r="F894" s="1" t="s">
        <v>6</v>
      </c>
      <c r="G894" s="1" t="s">
        <v>7</v>
      </c>
      <c r="H894" s="1" t="s">
        <v>8</v>
      </c>
      <c r="I894" s="1" t="s">
        <v>9</v>
      </c>
      <c r="J894" s="1" t="s">
        <v>1</v>
      </c>
      <c r="K894" s="1" t="s">
        <v>1</v>
      </c>
    </row>
    <row r="895" spans="1:11" ht="18.75" x14ac:dyDescent="0.3">
      <c r="A895" s="2">
        <v>45108</v>
      </c>
      <c r="B895" s="3">
        <f t="shared" ref="B895:B897" si="73">724131.71-724131.71</f>
        <v>0</v>
      </c>
      <c r="C895" s="3">
        <f>955616.64-954884.51</f>
        <v>732.13000000000466</v>
      </c>
      <c r="D895" s="1">
        <f t="shared" ref="D895:D925" si="74">282280.77-282280.77</f>
        <v>0</v>
      </c>
      <c r="E895" s="3">
        <f>357172.62-357172.62</f>
        <v>0</v>
      </c>
      <c r="F895" s="1">
        <f>7773.59-5082.56</f>
        <v>2691.0299999999997</v>
      </c>
      <c r="G895" s="1">
        <f t="shared" ref="G895:G896" si="75">584045.41-584045.41</f>
        <v>0</v>
      </c>
      <c r="H895" s="1">
        <f t="shared" ref="H895:H925" si="76">1081662-1081662</f>
        <v>0</v>
      </c>
      <c r="I895" s="1"/>
      <c r="J895" s="3">
        <f t="shared" ref="J895" si="77">SUM(B895:I895)</f>
        <v>3423.1600000000044</v>
      </c>
      <c r="K895" s="4">
        <f>J895*537</f>
        <v>1838236.9200000023</v>
      </c>
    </row>
    <row r="896" spans="1:11" ht="18.75" x14ac:dyDescent="0.3">
      <c r="A896" s="2">
        <v>45109</v>
      </c>
      <c r="B896" s="3">
        <f t="shared" si="73"/>
        <v>0</v>
      </c>
      <c r="C896" s="3">
        <f>956154.13-955616.64</f>
        <v>537.48999999999069</v>
      </c>
      <c r="D896" s="1">
        <f t="shared" si="74"/>
        <v>0</v>
      </c>
      <c r="E896" s="3">
        <f>357172.62-357172.62</f>
        <v>0</v>
      </c>
      <c r="F896" s="1">
        <f>10080.53-7773.59</f>
        <v>2306.9400000000005</v>
      </c>
      <c r="G896" s="1">
        <f t="shared" si="75"/>
        <v>0</v>
      </c>
      <c r="H896" s="1">
        <f t="shared" si="76"/>
        <v>0</v>
      </c>
      <c r="I896" s="1"/>
      <c r="J896" s="3">
        <f t="shared" ref="J896" si="78">SUM(B896:I896)</f>
        <v>2844.4299999999912</v>
      </c>
      <c r="K896" s="4">
        <f t="shared" ref="K896:K925" si="79">J896*537</f>
        <v>1527458.9099999953</v>
      </c>
    </row>
    <row r="897" spans="1:11" ht="18.75" x14ac:dyDescent="0.3">
      <c r="A897" s="2">
        <v>45110</v>
      </c>
      <c r="B897" s="3">
        <f t="shared" si="73"/>
        <v>0</v>
      </c>
      <c r="C897" s="3">
        <f>957418.05-956154.13</f>
        <v>1263.9200000000419</v>
      </c>
      <c r="D897" s="1">
        <f t="shared" si="74"/>
        <v>0</v>
      </c>
      <c r="E897" s="3">
        <f>357531.07-357172.62</f>
        <v>358.45000000001164</v>
      </c>
      <c r="F897" s="1">
        <f>11161.87-10080.53</f>
        <v>1081.3400000000001</v>
      </c>
      <c r="G897" s="1">
        <f>584351.59-584045.41</f>
        <v>306.17999999993481</v>
      </c>
      <c r="H897" s="1">
        <f t="shared" si="76"/>
        <v>0</v>
      </c>
      <c r="I897" s="1"/>
      <c r="J897" s="3">
        <f t="shared" ref="J897:J898" si="80">SUM(B897:I897)</f>
        <v>3009.8899999999885</v>
      </c>
      <c r="K897" s="4">
        <f t="shared" si="79"/>
        <v>1616310.9299999939</v>
      </c>
    </row>
    <row r="898" spans="1:11" ht="18.75" x14ac:dyDescent="0.3">
      <c r="A898" s="2">
        <v>45111</v>
      </c>
      <c r="B898" s="3">
        <f>724200.74-724131.71</f>
        <v>69.03000000002794</v>
      </c>
      <c r="C898" s="3">
        <f>959347.47-957418.05</f>
        <v>1929.4199999999255</v>
      </c>
      <c r="D898" s="1">
        <f t="shared" si="74"/>
        <v>0</v>
      </c>
      <c r="E898" s="3">
        <f>357531.07-357531.07</f>
        <v>0</v>
      </c>
      <c r="F898" s="1">
        <f>11828.65-11161.87</f>
        <v>666.77999999999884</v>
      </c>
      <c r="G898" s="1">
        <f t="shared" ref="G898:G905" si="81">584351.59-584351.59</f>
        <v>0</v>
      </c>
      <c r="H898" s="1">
        <f t="shared" si="76"/>
        <v>0</v>
      </c>
      <c r="I898" s="1"/>
      <c r="J898" s="3">
        <f t="shared" si="80"/>
        <v>2665.2299999999523</v>
      </c>
      <c r="K898" s="4">
        <f t="shared" si="79"/>
        <v>1431228.5099999744</v>
      </c>
    </row>
    <row r="899" spans="1:11" ht="18.75" x14ac:dyDescent="0.3">
      <c r="A899" s="2">
        <v>45112</v>
      </c>
      <c r="B899" s="3">
        <f t="shared" ref="B899:B906" si="82">724200.74-724200.74</f>
        <v>0</v>
      </c>
      <c r="C899" s="3">
        <f>959347.47-959347.47</f>
        <v>0</v>
      </c>
      <c r="D899" s="1">
        <f t="shared" si="74"/>
        <v>0</v>
      </c>
      <c r="E899" s="3">
        <f>359384.62-357531.07</f>
        <v>1853.5499999999884</v>
      </c>
      <c r="F899" s="1">
        <f>13046.58-11828.65</f>
        <v>1217.9300000000003</v>
      </c>
      <c r="G899" s="1">
        <f t="shared" si="81"/>
        <v>0</v>
      </c>
      <c r="H899" s="1">
        <f t="shared" si="76"/>
        <v>0</v>
      </c>
      <c r="I899" s="1"/>
      <c r="J899" s="3">
        <f t="shared" ref="J899" si="83">SUM(B899:I899)</f>
        <v>3071.4799999999886</v>
      </c>
      <c r="K899" s="4">
        <f t="shared" si="79"/>
        <v>1649384.759999994</v>
      </c>
    </row>
    <row r="900" spans="1:11" ht="18.75" x14ac:dyDescent="0.3">
      <c r="A900" s="2">
        <v>45113</v>
      </c>
      <c r="B900" s="3">
        <f t="shared" si="82"/>
        <v>0</v>
      </c>
      <c r="C900" s="3">
        <f>961361.06-959347.47</f>
        <v>2013.5900000000838</v>
      </c>
      <c r="D900" s="1">
        <f t="shared" si="74"/>
        <v>0</v>
      </c>
      <c r="E900" s="3">
        <f>359384.62-359384.62</f>
        <v>0</v>
      </c>
      <c r="F900" s="1">
        <f>14456.43-13046.58</f>
        <v>1409.8500000000004</v>
      </c>
      <c r="G900" s="1">
        <f t="shared" si="81"/>
        <v>0</v>
      </c>
      <c r="H900" s="1">
        <f t="shared" si="76"/>
        <v>0</v>
      </c>
      <c r="I900" s="1"/>
      <c r="J900" s="3">
        <f t="shared" ref="J900" si="84">SUM(B900:I900)</f>
        <v>3423.4400000000842</v>
      </c>
      <c r="K900" s="4">
        <f t="shared" si="79"/>
        <v>1838387.2800000452</v>
      </c>
    </row>
    <row r="901" spans="1:11" ht="18.75" x14ac:dyDescent="0.3">
      <c r="A901" s="2">
        <v>45114</v>
      </c>
      <c r="B901" s="3">
        <f t="shared" si="82"/>
        <v>0</v>
      </c>
      <c r="C901" s="3">
        <f>961361.06-961361.06</f>
        <v>0</v>
      </c>
      <c r="D901" s="1">
        <f t="shared" si="74"/>
        <v>0</v>
      </c>
      <c r="E901" s="3">
        <f>361286.36-359384.62</f>
        <v>1901.7399999999907</v>
      </c>
      <c r="F901" s="1">
        <f>15700.01-14456.43</f>
        <v>1243.58</v>
      </c>
      <c r="G901" s="1">
        <f t="shared" si="81"/>
        <v>0</v>
      </c>
      <c r="H901" s="1">
        <f t="shared" si="76"/>
        <v>0</v>
      </c>
      <c r="I901" s="1"/>
      <c r="J901" s="3">
        <f t="shared" ref="J901" si="85">SUM(B901:I901)</f>
        <v>3145.3199999999906</v>
      </c>
      <c r="K901" s="4">
        <f t="shared" si="79"/>
        <v>1689036.839999995</v>
      </c>
    </row>
    <row r="902" spans="1:11" ht="18.75" x14ac:dyDescent="0.3">
      <c r="A902" s="2">
        <v>45115</v>
      </c>
      <c r="B902" s="3">
        <f t="shared" si="82"/>
        <v>0</v>
      </c>
      <c r="C902" s="3">
        <f>963106.83-961361.06</f>
        <v>1745.7699999999022</v>
      </c>
      <c r="D902" s="1">
        <f t="shared" si="74"/>
        <v>0</v>
      </c>
      <c r="E902" s="3">
        <f>362441.07-361286.36</f>
        <v>1154.710000000021</v>
      </c>
      <c r="F902" s="1">
        <f>15700.01-15700.01</f>
        <v>0</v>
      </c>
      <c r="G902" s="1">
        <f t="shared" si="81"/>
        <v>0</v>
      </c>
      <c r="H902" s="1">
        <f t="shared" si="76"/>
        <v>0</v>
      </c>
      <c r="I902" s="1"/>
      <c r="J902" s="3">
        <f t="shared" ref="J902:J903" si="86">SUM(B902:I902)</f>
        <v>2900.4799999999232</v>
      </c>
      <c r="K902" s="4">
        <f t="shared" si="79"/>
        <v>1557557.7599999588</v>
      </c>
    </row>
    <row r="903" spans="1:11" ht="18.75" x14ac:dyDescent="0.3">
      <c r="A903" s="2">
        <v>45116</v>
      </c>
      <c r="B903" s="3">
        <f t="shared" si="82"/>
        <v>0</v>
      </c>
      <c r="C903" s="3">
        <f>964082.41-963106.83</f>
        <v>975.58000000007451</v>
      </c>
      <c r="D903" s="1">
        <f t="shared" si="74"/>
        <v>0</v>
      </c>
      <c r="E903" s="3">
        <f>362441.07-362441.07</f>
        <v>0</v>
      </c>
      <c r="F903" s="1">
        <f>17453.53-15700.01</f>
        <v>1753.5199999999986</v>
      </c>
      <c r="G903" s="1">
        <f t="shared" si="81"/>
        <v>0</v>
      </c>
      <c r="H903" s="1">
        <f t="shared" si="76"/>
        <v>0</v>
      </c>
      <c r="I903" s="1"/>
      <c r="J903" s="3">
        <f t="shared" si="86"/>
        <v>2729.1000000000731</v>
      </c>
      <c r="K903" s="4">
        <f t="shared" si="79"/>
        <v>1465526.7000000393</v>
      </c>
    </row>
    <row r="904" spans="1:11" ht="18.75" x14ac:dyDescent="0.3">
      <c r="A904" s="2">
        <v>45117</v>
      </c>
      <c r="B904" s="3">
        <f t="shared" si="82"/>
        <v>0</v>
      </c>
      <c r="C904" s="3">
        <f>965712.57-964082.41</f>
        <v>1630.1599999999162</v>
      </c>
      <c r="D904" s="1">
        <f t="shared" si="74"/>
        <v>0</v>
      </c>
      <c r="E904" s="3">
        <f>363612.28-362441.07</f>
        <v>1171.210000000021</v>
      </c>
      <c r="F904" s="1">
        <f>17453.53-17453.53</f>
        <v>0</v>
      </c>
      <c r="G904" s="1">
        <f t="shared" si="81"/>
        <v>0</v>
      </c>
      <c r="H904" s="1">
        <f t="shared" si="76"/>
        <v>0</v>
      </c>
      <c r="I904" s="1"/>
      <c r="J904" s="3">
        <f t="shared" ref="J904:J905" si="87">SUM(B904:I904)</f>
        <v>2801.3699999999371</v>
      </c>
      <c r="K904" s="4">
        <f t="shared" si="79"/>
        <v>1504335.6899999662</v>
      </c>
    </row>
    <row r="905" spans="1:11" ht="18.75" x14ac:dyDescent="0.3">
      <c r="A905" s="2">
        <v>45118</v>
      </c>
      <c r="B905" s="3">
        <f t="shared" si="82"/>
        <v>0</v>
      </c>
      <c r="C905" s="3">
        <f>966787.36-965712.57</f>
        <v>1074.7900000000373</v>
      </c>
      <c r="D905" s="1">
        <f t="shared" si="74"/>
        <v>0</v>
      </c>
      <c r="E905" s="3">
        <f>364062.04-363612.28</f>
        <v>449.75999999995111</v>
      </c>
      <c r="F905" s="1">
        <f>18211.32-17453.53</f>
        <v>757.79000000000087</v>
      </c>
      <c r="G905" s="1">
        <f t="shared" si="81"/>
        <v>0</v>
      </c>
      <c r="H905" s="1">
        <f t="shared" si="76"/>
        <v>0</v>
      </c>
      <c r="I905" s="1"/>
      <c r="J905" s="3">
        <f t="shared" si="87"/>
        <v>2282.3399999999892</v>
      </c>
      <c r="K905" s="4">
        <f t="shared" si="79"/>
        <v>1225616.5799999943</v>
      </c>
    </row>
    <row r="906" spans="1:11" ht="18.75" x14ac:dyDescent="0.3">
      <c r="A906" s="2">
        <v>45119</v>
      </c>
      <c r="B906" s="3">
        <f t="shared" si="82"/>
        <v>0</v>
      </c>
      <c r="C906" s="3">
        <f>968238.91-966787.36</f>
        <v>1451.5500000000466</v>
      </c>
      <c r="D906" s="1">
        <f t="shared" si="74"/>
        <v>0</v>
      </c>
      <c r="E906" s="3">
        <f>364115.04-364062.04</f>
        <v>53</v>
      </c>
      <c r="F906" s="1">
        <f>18974.51-18211.32</f>
        <v>763.18999999999869</v>
      </c>
      <c r="G906" s="1">
        <f>584878.71-584351.59</f>
        <v>527.11999999999534</v>
      </c>
      <c r="H906" s="1">
        <f t="shared" si="76"/>
        <v>0</v>
      </c>
      <c r="I906" s="1"/>
      <c r="J906" s="3">
        <f t="shared" ref="J906:J925" si="88">SUM(B906:I906)</f>
        <v>2794.8600000000406</v>
      </c>
      <c r="K906" s="4">
        <f t="shared" si="79"/>
        <v>1500839.8200000217</v>
      </c>
    </row>
    <row r="907" spans="1:11" ht="18.75" x14ac:dyDescent="0.3">
      <c r="A907" s="2">
        <v>45120</v>
      </c>
      <c r="B907" s="3">
        <f>724491.88-724200.74</f>
        <v>291.14000000001397</v>
      </c>
      <c r="C907" s="3">
        <f>969656.33-968238.91</f>
        <v>1417.4199999999255</v>
      </c>
      <c r="D907" s="1">
        <f t="shared" si="74"/>
        <v>0</v>
      </c>
      <c r="E907" s="3">
        <f>364760.9-364115.04</f>
        <v>645.86000000004424</v>
      </c>
      <c r="F907" s="1">
        <f>19448.05-18974.51</f>
        <v>473.54000000000087</v>
      </c>
      <c r="G907" s="1">
        <f>584878.71-584878.71</f>
        <v>0</v>
      </c>
      <c r="H907" s="1">
        <f t="shared" si="76"/>
        <v>0</v>
      </c>
      <c r="I907" s="1"/>
      <c r="J907" s="3">
        <f t="shared" si="88"/>
        <v>2827.9599999999846</v>
      </c>
      <c r="K907" s="4">
        <f t="shared" si="79"/>
        <v>1518614.5199999916</v>
      </c>
    </row>
    <row r="908" spans="1:11" ht="18.75" x14ac:dyDescent="0.3">
      <c r="A908" s="2">
        <v>45121</v>
      </c>
      <c r="B908" s="3">
        <f>725379.93-724491.88</f>
        <v>888.05000000004657</v>
      </c>
      <c r="C908" s="3">
        <f>970290.09-969656.33</f>
        <v>633.76000000000931</v>
      </c>
      <c r="D908" s="1">
        <f t="shared" si="74"/>
        <v>0</v>
      </c>
      <c r="E908" s="3">
        <f>365861.57-364760.9</f>
        <v>1100.6699999999837</v>
      </c>
      <c r="F908" s="1">
        <f>19448.05-19448.05</f>
        <v>0</v>
      </c>
      <c r="G908" s="1">
        <f>584878.71-584878.71</f>
        <v>0</v>
      </c>
      <c r="H908" s="1">
        <f t="shared" si="76"/>
        <v>0</v>
      </c>
      <c r="I908" s="1"/>
      <c r="J908" s="3">
        <f t="shared" si="88"/>
        <v>2622.4800000000396</v>
      </c>
      <c r="K908" s="4">
        <f t="shared" si="79"/>
        <v>1408271.7600000212</v>
      </c>
    </row>
    <row r="909" spans="1:11" ht="18.75" x14ac:dyDescent="0.3">
      <c r="A909" s="2">
        <v>45122</v>
      </c>
      <c r="B909" s="3">
        <f>726116.01-725379.93</f>
        <v>736.07999999995809</v>
      </c>
      <c r="C909" s="3">
        <f>970956.96-970290.09</f>
        <v>666.86999999999534</v>
      </c>
      <c r="D909" s="1">
        <f t="shared" si="74"/>
        <v>0</v>
      </c>
      <c r="E909" s="3">
        <f>366812.31-365861.57</f>
        <v>950.73999999999069</v>
      </c>
      <c r="F909" s="1">
        <f>19499.16-19448.05</f>
        <v>51.110000000000582</v>
      </c>
      <c r="G909" s="1">
        <f>584899.56-584878.71</f>
        <v>20.850000000093132</v>
      </c>
      <c r="H909" s="1">
        <f t="shared" si="76"/>
        <v>0</v>
      </c>
      <c r="I909" s="1"/>
      <c r="J909" s="3">
        <f t="shared" si="88"/>
        <v>2425.6500000000378</v>
      </c>
      <c r="K909" s="4">
        <f t="shared" si="79"/>
        <v>1302574.0500000203</v>
      </c>
    </row>
    <row r="910" spans="1:11" ht="18.75" x14ac:dyDescent="0.3">
      <c r="A910" s="2">
        <v>45123</v>
      </c>
      <c r="B910" s="3">
        <f>726123.79-726116.01</f>
        <v>7.7800000000279397</v>
      </c>
      <c r="C910" s="3">
        <f>972357.89-970956.96</f>
        <v>1400.9300000000512</v>
      </c>
      <c r="D910" s="1">
        <f t="shared" si="74"/>
        <v>0</v>
      </c>
      <c r="E910" s="3">
        <f>366812.31-366812.31</f>
        <v>0</v>
      </c>
      <c r="F910" s="1">
        <f>20396.81-19499.16</f>
        <v>897.65000000000146</v>
      </c>
      <c r="G910" s="1">
        <f>584936.6-584899.56</f>
        <v>37.039999999920838</v>
      </c>
      <c r="H910" s="1">
        <f t="shared" si="76"/>
        <v>0</v>
      </c>
      <c r="I910" s="1"/>
      <c r="J910" s="3">
        <f t="shared" si="88"/>
        <v>2343.4000000000015</v>
      </c>
      <c r="K910" s="4">
        <f t="shared" si="79"/>
        <v>1258405.8000000007</v>
      </c>
    </row>
    <row r="911" spans="1:11" ht="18.75" x14ac:dyDescent="0.3">
      <c r="A911" s="2">
        <v>45124</v>
      </c>
      <c r="B911" s="3">
        <f>726845.3-726123.79</f>
        <v>721.51000000000931</v>
      </c>
      <c r="C911" s="3">
        <f>973061.26-972357.89</f>
        <v>703.36999999999534</v>
      </c>
      <c r="D911" s="1">
        <f t="shared" si="74"/>
        <v>0</v>
      </c>
      <c r="E911" s="3">
        <f>366812.36-366812.31</f>
        <v>4.9999999988358468E-2</v>
      </c>
      <c r="F911" s="1">
        <f>20757.39-20396.81</f>
        <v>360.57999999999811</v>
      </c>
      <c r="G911" s="1">
        <f>585469.64-584936.6</f>
        <v>533.04000000003725</v>
      </c>
      <c r="H911" s="1">
        <f t="shared" si="76"/>
        <v>0</v>
      </c>
      <c r="I911" s="1"/>
      <c r="J911" s="3">
        <f t="shared" si="88"/>
        <v>2318.5500000000284</v>
      </c>
      <c r="K911" s="4">
        <f t="shared" si="79"/>
        <v>1245061.3500000152</v>
      </c>
    </row>
    <row r="912" spans="1:11" ht="18.75" x14ac:dyDescent="0.3">
      <c r="A912" s="2">
        <v>45125</v>
      </c>
      <c r="B912" s="3">
        <f>726845.3-726845.3</f>
        <v>0</v>
      </c>
      <c r="C912" s="3">
        <f>973425.16-973061.26</f>
        <v>363.90000000002328</v>
      </c>
      <c r="D912" s="1">
        <f t="shared" si="74"/>
        <v>0</v>
      </c>
      <c r="E912" s="3">
        <f>367639.46-366812.36</f>
        <v>827.10000000003492</v>
      </c>
      <c r="F912" s="1">
        <f>20757.39-20757.39</f>
        <v>0</v>
      </c>
      <c r="G912" s="1">
        <f>585469.64-585469.64</f>
        <v>0</v>
      </c>
      <c r="H912" s="1">
        <f t="shared" si="76"/>
        <v>0</v>
      </c>
      <c r="I912" s="1"/>
      <c r="J912" s="3">
        <f t="shared" si="88"/>
        <v>1191.0000000000582</v>
      </c>
      <c r="K912" s="4">
        <f t="shared" si="79"/>
        <v>639567.0000000312</v>
      </c>
    </row>
    <row r="913" spans="1:11" ht="18.75" x14ac:dyDescent="0.3">
      <c r="A913" s="2">
        <v>45126</v>
      </c>
      <c r="B913" s="3">
        <f>726845.3-726845.3</f>
        <v>0</v>
      </c>
      <c r="C913" s="3">
        <f>974464.51-973425.16</f>
        <v>1039.3499999999767</v>
      </c>
      <c r="D913" s="1">
        <f t="shared" si="74"/>
        <v>0</v>
      </c>
      <c r="E913" s="3">
        <f>368337.77-367639.46</f>
        <v>698.30999999999767</v>
      </c>
      <c r="F913" s="1">
        <f>20757.57-20757.39</f>
        <v>0.18000000000029104</v>
      </c>
      <c r="G913" s="1">
        <f>585746.38-585469.64</f>
        <v>276.73999999999069</v>
      </c>
      <c r="H913" s="1">
        <f t="shared" si="76"/>
        <v>0</v>
      </c>
      <c r="I913" s="1"/>
      <c r="J913" s="3">
        <f t="shared" si="88"/>
        <v>2014.5799999999654</v>
      </c>
      <c r="K913" s="4">
        <f t="shared" si="79"/>
        <v>1081829.4599999813</v>
      </c>
    </row>
    <row r="914" spans="1:11" ht="18.75" x14ac:dyDescent="0.3">
      <c r="A914" s="2">
        <v>45127</v>
      </c>
      <c r="B914" s="3">
        <f>726845.3-726845.3</f>
        <v>0</v>
      </c>
      <c r="C914" s="3">
        <f>975643.93-974464.51</f>
        <v>1179.4200000000419</v>
      </c>
      <c r="D914" s="1">
        <f t="shared" si="74"/>
        <v>0</v>
      </c>
      <c r="E914" s="3">
        <f t="shared" ref="E914:E921" si="89">368337.77-368337.77</f>
        <v>0</v>
      </c>
      <c r="F914" s="1">
        <f>21443.16-20757.57</f>
        <v>685.59000000000015</v>
      </c>
      <c r="G914" s="1">
        <f>585746.38-585746.38</f>
        <v>0</v>
      </c>
      <c r="H914" s="1">
        <f t="shared" si="76"/>
        <v>0</v>
      </c>
      <c r="I914" s="1"/>
      <c r="J914" s="3">
        <f t="shared" si="88"/>
        <v>1865.0100000000421</v>
      </c>
      <c r="K914" s="4">
        <f t="shared" si="79"/>
        <v>1001510.3700000226</v>
      </c>
    </row>
    <row r="915" spans="1:11" ht="18.75" x14ac:dyDescent="0.3">
      <c r="A915" s="2">
        <v>45128</v>
      </c>
      <c r="B915" s="3">
        <f>726845.3-726845.3</f>
        <v>0</v>
      </c>
      <c r="C915" s="3">
        <f>976835.61-975643.93</f>
        <v>1191.6799999999348</v>
      </c>
      <c r="D915" s="1">
        <f t="shared" si="74"/>
        <v>0</v>
      </c>
      <c r="E915" s="3">
        <f t="shared" si="89"/>
        <v>0</v>
      </c>
      <c r="F915" s="1">
        <f>22384.69-21443.16</f>
        <v>941.52999999999884</v>
      </c>
      <c r="G915" s="1">
        <f>585746.38-585746.38</f>
        <v>0</v>
      </c>
      <c r="H915" s="1">
        <f t="shared" si="76"/>
        <v>0</v>
      </c>
      <c r="I915" s="1"/>
      <c r="J915" s="3">
        <f t="shared" si="88"/>
        <v>2133.2099999999336</v>
      </c>
      <c r="K915" s="4">
        <f t="shared" si="79"/>
        <v>1145533.7699999644</v>
      </c>
    </row>
    <row r="916" spans="1:11" ht="18.75" x14ac:dyDescent="0.3">
      <c r="A916" s="2">
        <v>45129</v>
      </c>
      <c r="B916" s="3">
        <f>726845.3-726845.3</f>
        <v>0</v>
      </c>
      <c r="C916" s="3">
        <f>978758.78-976835.61</f>
        <v>1923.1700000000419</v>
      </c>
      <c r="D916" s="1">
        <f t="shared" si="74"/>
        <v>0</v>
      </c>
      <c r="E916" s="3">
        <f t="shared" si="89"/>
        <v>0</v>
      </c>
      <c r="F916" s="1">
        <f>22771.76-22384.69</f>
        <v>387.06999999999971</v>
      </c>
      <c r="G916" s="1">
        <f>585746.38-585746.38</f>
        <v>0</v>
      </c>
      <c r="H916" s="1">
        <f t="shared" si="76"/>
        <v>0</v>
      </c>
      <c r="I916" s="1"/>
      <c r="J916" s="3">
        <f t="shared" si="88"/>
        <v>2310.2400000000416</v>
      </c>
      <c r="K916" s="4">
        <f t="shared" si="79"/>
        <v>1240598.8800000222</v>
      </c>
    </row>
    <row r="917" spans="1:11" ht="18.75" x14ac:dyDescent="0.3">
      <c r="A917" s="2">
        <v>45130</v>
      </c>
      <c r="B917" s="3">
        <f>726899.47-726845.3</f>
        <v>54.169999999925494</v>
      </c>
      <c r="C917" s="3">
        <f>979734.45-978758.78</f>
        <v>975.66999999992549</v>
      </c>
      <c r="D917" s="1">
        <f t="shared" si="74"/>
        <v>0</v>
      </c>
      <c r="E917" s="3">
        <f t="shared" si="89"/>
        <v>0</v>
      </c>
      <c r="F917" s="1">
        <f>23654.19-22771.76</f>
        <v>882.43000000000029</v>
      </c>
      <c r="G917" s="1">
        <f>585746.38-585746.38</f>
        <v>0</v>
      </c>
      <c r="H917" s="1">
        <f t="shared" si="76"/>
        <v>0</v>
      </c>
      <c r="I917" s="1"/>
      <c r="J917" s="3">
        <f t="shared" si="88"/>
        <v>1912.2699999998513</v>
      </c>
      <c r="K917" s="4">
        <f t="shared" si="79"/>
        <v>1026888.9899999201</v>
      </c>
    </row>
    <row r="918" spans="1:11" ht="18.75" x14ac:dyDescent="0.3">
      <c r="A918" s="2">
        <v>45131</v>
      </c>
      <c r="B918" s="3">
        <f>727753.21-726899.47</f>
        <v>853.73999999999069</v>
      </c>
      <c r="C918" s="3">
        <f>980508.61-979734.45</f>
        <v>774.1600000000326</v>
      </c>
      <c r="D918" s="1">
        <f t="shared" si="74"/>
        <v>0</v>
      </c>
      <c r="E918" s="3">
        <f t="shared" si="89"/>
        <v>0</v>
      </c>
      <c r="F918" s="1">
        <f>24438.85-23654.19</f>
        <v>784.65999999999985</v>
      </c>
      <c r="G918" s="1">
        <f>585746.38-585746.38</f>
        <v>0</v>
      </c>
      <c r="H918" s="1">
        <f t="shared" si="76"/>
        <v>0</v>
      </c>
      <c r="I918" s="1"/>
      <c r="J918" s="3">
        <f t="shared" si="88"/>
        <v>2412.5600000000231</v>
      </c>
      <c r="K918" s="4">
        <f t="shared" si="79"/>
        <v>1295544.7200000123</v>
      </c>
    </row>
    <row r="919" spans="1:11" ht="18.75" x14ac:dyDescent="0.3">
      <c r="A919" s="2">
        <v>45132</v>
      </c>
      <c r="B919" s="3">
        <f>727753.21-727753.21</f>
        <v>0</v>
      </c>
      <c r="C919" s="3">
        <f>981926.75-980508.61</f>
        <v>1418.140000000014</v>
      </c>
      <c r="D919" s="1">
        <f t="shared" si="74"/>
        <v>0</v>
      </c>
      <c r="E919" s="3">
        <f t="shared" si="89"/>
        <v>0</v>
      </c>
      <c r="F919" s="1">
        <f>25153.92-24438.85</f>
        <v>715.06999999999971</v>
      </c>
      <c r="G919" s="1">
        <f>586014.52-585746.38</f>
        <v>268.14000000001397</v>
      </c>
      <c r="H919" s="1">
        <f t="shared" si="76"/>
        <v>0</v>
      </c>
      <c r="I919" s="1"/>
      <c r="J919" s="3">
        <f t="shared" si="88"/>
        <v>2401.3500000000276</v>
      </c>
      <c r="K919" s="4">
        <f t="shared" si="79"/>
        <v>1289524.9500000149</v>
      </c>
    </row>
    <row r="920" spans="1:11" ht="18.75" x14ac:dyDescent="0.3">
      <c r="A920" s="2">
        <v>45133</v>
      </c>
      <c r="B920" s="3">
        <f>727753.21-727753.21</f>
        <v>0</v>
      </c>
      <c r="C920" s="3">
        <f>983665.5-981926.75</f>
        <v>1738.75</v>
      </c>
      <c r="D920" s="1">
        <f t="shared" si="74"/>
        <v>0</v>
      </c>
      <c r="E920" s="3">
        <f t="shared" si="89"/>
        <v>0</v>
      </c>
      <c r="F920" s="1">
        <f>26031.25-25153.92</f>
        <v>877.33000000000175</v>
      </c>
      <c r="G920" s="1">
        <f>586014.52-586014.52</f>
        <v>0</v>
      </c>
      <c r="H920" s="1">
        <f t="shared" si="76"/>
        <v>0</v>
      </c>
      <c r="I920" s="1"/>
      <c r="J920" s="3">
        <f t="shared" si="88"/>
        <v>2616.0800000000017</v>
      </c>
      <c r="K920" s="4">
        <f t="shared" si="79"/>
        <v>1404834.9600000009</v>
      </c>
    </row>
    <row r="921" spans="1:11" ht="18.75" x14ac:dyDescent="0.3">
      <c r="A921" s="2">
        <v>45134</v>
      </c>
      <c r="B921" s="3">
        <f>728713.71-727753.21</f>
        <v>960.5</v>
      </c>
      <c r="C921" s="3">
        <f>985475.87-983665.5</f>
        <v>1810.3699999999953</v>
      </c>
      <c r="D921" s="1">
        <f t="shared" si="74"/>
        <v>0</v>
      </c>
      <c r="E921" s="3">
        <f t="shared" si="89"/>
        <v>0</v>
      </c>
      <c r="F921" s="1">
        <f>26269.38-26031.25</f>
        <v>238.13000000000102</v>
      </c>
      <c r="G921" s="1">
        <f>586015.09-586014.52</f>
        <v>0.56999999994877726</v>
      </c>
      <c r="H921" s="1">
        <f t="shared" si="76"/>
        <v>0</v>
      </c>
      <c r="I921" s="1"/>
      <c r="J921" s="3">
        <f t="shared" si="88"/>
        <v>3009.5699999999451</v>
      </c>
      <c r="K921" s="4">
        <f t="shared" si="79"/>
        <v>1616139.0899999705</v>
      </c>
    </row>
    <row r="922" spans="1:11" ht="18.75" x14ac:dyDescent="0.3">
      <c r="A922" s="2">
        <v>45135</v>
      </c>
      <c r="B922" s="3">
        <f>728879.03-728713.71</f>
        <v>165.32000000006519</v>
      </c>
      <c r="C922" s="3">
        <f>987869.23-985475.87</f>
        <v>2393.359999999986</v>
      </c>
      <c r="D922" s="1">
        <f t="shared" si="74"/>
        <v>0</v>
      </c>
      <c r="E922" s="3">
        <f>368662.87-368337.77</f>
        <v>325.09999999997672</v>
      </c>
      <c r="F922" s="1">
        <f>26269.38-26269.38</f>
        <v>0</v>
      </c>
      <c r="G922" s="1">
        <f>586015.09-586015.09</f>
        <v>0</v>
      </c>
      <c r="H922" s="1">
        <f t="shared" si="76"/>
        <v>0</v>
      </c>
      <c r="I922" s="1"/>
      <c r="J922" s="3">
        <f t="shared" si="88"/>
        <v>2883.7800000000279</v>
      </c>
      <c r="K922" s="4">
        <f t="shared" si="79"/>
        <v>1548589.860000015</v>
      </c>
    </row>
    <row r="923" spans="1:11" ht="18.75" x14ac:dyDescent="0.3">
      <c r="A923" s="2">
        <v>45136</v>
      </c>
      <c r="B923" s="3">
        <f>729314.85-728879.03</f>
        <v>435.81999999994878</v>
      </c>
      <c r="C923" s="3">
        <f>988484.46-987869.23</f>
        <v>615.22999999998137</v>
      </c>
      <c r="D923" s="1">
        <f t="shared" si="74"/>
        <v>0</v>
      </c>
      <c r="E923" s="3">
        <f>370015.34-368662.87</f>
        <v>1352.4700000000303</v>
      </c>
      <c r="F923" s="1">
        <f>26282.68-26269.38</f>
        <v>13.299999999999272</v>
      </c>
      <c r="G923" s="1">
        <f>586789.05-586015.09</f>
        <v>773.96000000007916</v>
      </c>
      <c r="H923" s="1">
        <f t="shared" si="76"/>
        <v>0</v>
      </c>
      <c r="I923" s="1"/>
      <c r="J923" s="3">
        <f t="shared" si="88"/>
        <v>3190.7800000000389</v>
      </c>
      <c r="K923" s="4">
        <f t="shared" si="79"/>
        <v>1713448.8600000208</v>
      </c>
    </row>
    <row r="924" spans="1:11" ht="18.75" x14ac:dyDescent="0.3">
      <c r="A924" s="2">
        <v>45137</v>
      </c>
      <c r="B924" s="3">
        <f>729314.85-729314.85</f>
        <v>0</v>
      </c>
      <c r="C924" s="3">
        <f>989450.87-988484.46</f>
        <v>966.4100000000326</v>
      </c>
      <c r="D924" s="1">
        <f t="shared" si="74"/>
        <v>0</v>
      </c>
      <c r="E924" s="3">
        <f>370015.34-370015.34</f>
        <v>0</v>
      </c>
      <c r="F924" s="1">
        <f>26282.68-26282.68</f>
        <v>0</v>
      </c>
      <c r="G924" s="1">
        <f>588581.27-586789.05</f>
        <v>1792.2199999999721</v>
      </c>
      <c r="H924" s="1">
        <f t="shared" si="76"/>
        <v>0</v>
      </c>
      <c r="I924" s="1"/>
      <c r="J924" s="3">
        <f t="shared" si="88"/>
        <v>2758.6300000000047</v>
      </c>
      <c r="K924" s="4">
        <f t="shared" si="79"/>
        <v>1481384.3100000024</v>
      </c>
    </row>
    <row r="925" spans="1:11" ht="18.75" x14ac:dyDescent="0.3">
      <c r="A925" s="2">
        <v>45138</v>
      </c>
      <c r="B925" s="3">
        <f>730194.28-729314.85</f>
        <v>879.43000000005122</v>
      </c>
      <c r="C925" s="3">
        <f>990828.42-989450.87</f>
        <v>1377.5500000000466</v>
      </c>
      <c r="D925" s="1">
        <f t="shared" si="74"/>
        <v>0</v>
      </c>
      <c r="E925" s="3">
        <f>370249.43-370015.34</f>
        <v>234.0899999999674</v>
      </c>
      <c r="F925" s="1">
        <f>26771.83-26282.68</f>
        <v>489.15000000000146</v>
      </c>
      <c r="G925" s="1">
        <f>588581.27-588581.27</f>
        <v>0</v>
      </c>
      <c r="H925" s="1">
        <f t="shared" si="76"/>
        <v>0</v>
      </c>
      <c r="I925" s="1"/>
      <c r="J925" s="3">
        <f t="shared" si="88"/>
        <v>2980.2200000000666</v>
      </c>
      <c r="K925" s="4">
        <f t="shared" si="79"/>
        <v>1600378.1400000358</v>
      </c>
    </row>
    <row r="926" spans="1:11" ht="18.75" x14ac:dyDescent="0.3">
      <c r="A926" s="5" t="s">
        <v>10</v>
      </c>
      <c r="B926" s="5" t="s">
        <v>10</v>
      </c>
      <c r="C926" s="5" t="s">
        <v>10</v>
      </c>
      <c r="D926" s="5" t="s">
        <v>10</v>
      </c>
      <c r="E926" s="5" t="s">
        <v>10</v>
      </c>
      <c r="F926" s="5" t="s">
        <v>10</v>
      </c>
      <c r="G926" s="5" t="s">
        <v>10</v>
      </c>
      <c r="H926" s="5" t="s">
        <v>10</v>
      </c>
      <c r="I926" s="5" t="s">
        <v>10</v>
      </c>
      <c r="J926" s="5" t="s">
        <v>10</v>
      </c>
      <c r="K926" s="5" t="s">
        <v>10</v>
      </c>
    </row>
    <row r="927" spans="1:11" ht="18.75" x14ac:dyDescent="0.3">
      <c r="A927" s="6" t="s">
        <v>11</v>
      </c>
      <c r="B927" s="6">
        <f t="shared" ref="B927:K927" si="90">SUM(B895:B926)</f>
        <v>6062.5700000000652</v>
      </c>
      <c r="C927" s="6">
        <f t="shared" si="90"/>
        <v>35943.910000000033</v>
      </c>
      <c r="D927" s="6">
        <f t="shared" si="90"/>
        <v>0</v>
      </c>
      <c r="E927" s="6">
        <f t="shared" si="90"/>
        <v>13076.809999999998</v>
      </c>
      <c r="F927" s="6">
        <f t="shared" si="90"/>
        <v>21689.27</v>
      </c>
      <c r="G927" s="6">
        <f t="shared" si="90"/>
        <v>4535.859999999986</v>
      </c>
      <c r="H927" s="6">
        <f t="shared" si="90"/>
        <v>0</v>
      </c>
      <c r="I927" s="6">
        <f t="shared" si="90"/>
        <v>0</v>
      </c>
      <c r="J927" s="6">
        <f t="shared" si="90"/>
        <v>81308.4200000001</v>
      </c>
      <c r="K927" s="6">
        <f t="shared" si="90"/>
        <v>43662621.540000051</v>
      </c>
    </row>
    <row r="928" spans="1:11" ht="18.75" x14ac:dyDescent="0.3">
      <c r="A928" s="5" t="s">
        <v>10</v>
      </c>
      <c r="B928" s="5" t="s">
        <v>12</v>
      </c>
      <c r="C928" s="5" t="s">
        <v>12</v>
      </c>
      <c r="D928" s="5" t="s">
        <v>12</v>
      </c>
      <c r="E928" s="5" t="s">
        <v>12</v>
      </c>
      <c r="F928" s="5" t="s">
        <v>12</v>
      </c>
      <c r="G928" s="5" t="s">
        <v>12</v>
      </c>
      <c r="H928" s="5" t="s">
        <v>12</v>
      </c>
      <c r="I928" s="5" t="s">
        <v>12</v>
      </c>
      <c r="J928" s="5" t="s">
        <v>12</v>
      </c>
      <c r="K928" s="5" t="s">
        <v>13</v>
      </c>
    </row>
    <row r="929" spans="1:11" ht="18.75" x14ac:dyDescent="0.3">
      <c r="A929" s="6" t="s">
        <v>14</v>
      </c>
      <c r="B929" s="6">
        <f>2450+13550+15000+14900</f>
        <v>45900</v>
      </c>
      <c r="C929" s="6">
        <v>0</v>
      </c>
      <c r="D929" s="7">
        <f>800+13100</f>
        <v>13900</v>
      </c>
      <c r="E929" s="6"/>
      <c r="F929" s="7">
        <f>6650+13350+15100</f>
        <v>35100</v>
      </c>
      <c r="G929" s="6">
        <v>0</v>
      </c>
      <c r="H929" s="6">
        <v>0</v>
      </c>
      <c r="I929" s="6">
        <v>0</v>
      </c>
      <c r="J929" s="6">
        <f>SUM(B929:I929)</f>
        <v>94900</v>
      </c>
      <c r="K929" s="8">
        <f>J929*550.87</f>
        <v>52277563</v>
      </c>
    </row>
    <row r="930" spans="1:11" ht="18.75" x14ac:dyDescent="0.3">
      <c r="A930" s="6" t="s">
        <v>14</v>
      </c>
      <c r="B930" s="6">
        <f>B929-B927-C927+106</f>
        <v>3999.5199999999022</v>
      </c>
      <c r="C930" s="6">
        <v>0</v>
      </c>
      <c r="D930" s="7">
        <f>D929-D927-E927-73</f>
        <v>750.19000000000233</v>
      </c>
      <c r="E930" s="6"/>
      <c r="F930" s="7">
        <f>F929-F927-G927-H927-I927-475</f>
        <v>8399.8700000000135</v>
      </c>
      <c r="G930" s="6"/>
      <c r="H930" s="6">
        <f>H929</f>
        <v>0</v>
      </c>
      <c r="I930" s="6">
        <v>0</v>
      </c>
      <c r="J930" s="6">
        <f>SUM(B930:I930)</f>
        <v>13149.579999999918</v>
      </c>
      <c r="K930" s="8">
        <f>J930*575</f>
        <v>7561008.4999999525</v>
      </c>
    </row>
    <row r="931" spans="1:11" ht="18.75" x14ac:dyDescent="0.3">
      <c r="A931" s="6"/>
      <c r="B931" s="6">
        <v>0</v>
      </c>
      <c r="C931" s="6"/>
      <c r="D931" s="6">
        <v>0</v>
      </c>
      <c r="E931" s="6"/>
      <c r="F931" s="6">
        <v>0</v>
      </c>
      <c r="G931" s="6">
        <v>0</v>
      </c>
      <c r="H931" s="6"/>
      <c r="I931" s="6">
        <v>0</v>
      </c>
      <c r="J931" s="6">
        <v>0</v>
      </c>
      <c r="K931" s="5" t="s">
        <v>15</v>
      </c>
    </row>
    <row r="932" spans="1:11" ht="18.75" x14ac:dyDescent="0.3">
      <c r="A932" s="6" t="s">
        <v>16</v>
      </c>
      <c r="B932" s="6">
        <f>B930+B927+C927+D927+E927-B929</f>
        <v>13182.809999999998</v>
      </c>
      <c r="C932" s="6">
        <v>0</v>
      </c>
      <c r="D932" s="6">
        <v>0</v>
      </c>
      <c r="E932" s="9">
        <f>D932/10</f>
        <v>0</v>
      </c>
      <c r="F932" s="6">
        <f>F930+F927+G927+H927+I927-F929</f>
        <v>-475</v>
      </c>
      <c r="G932" s="6">
        <v>0</v>
      </c>
      <c r="H932" s="6">
        <v>0</v>
      </c>
      <c r="I932" s="6">
        <v>0</v>
      </c>
      <c r="J932" s="6">
        <f>SUM(B932:I932)</f>
        <v>12707.809999999998</v>
      </c>
      <c r="K932" s="6"/>
    </row>
    <row r="933" spans="1:11" ht="18.75" x14ac:dyDescent="0.3">
      <c r="A933" s="6">
        <v>0</v>
      </c>
      <c r="B933" s="6">
        <v>0</v>
      </c>
      <c r="C933" s="6">
        <v>0</v>
      </c>
      <c r="D933" s="6">
        <v>0</v>
      </c>
      <c r="E933" s="6"/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</row>
    <row r="934" spans="1:11" ht="18.75" x14ac:dyDescent="0.3">
      <c r="A934" s="6">
        <v>0</v>
      </c>
      <c r="B934" s="6">
        <f>B929-B930</f>
        <v>41900.480000000098</v>
      </c>
      <c r="C934" s="6"/>
      <c r="D934" s="6">
        <v>0</v>
      </c>
      <c r="E934" s="6"/>
      <c r="F934" s="6">
        <f>F929-F930</f>
        <v>26700.129999999986</v>
      </c>
      <c r="G934" s="6">
        <v>0</v>
      </c>
      <c r="H934" s="6">
        <v>0</v>
      </c>
      <c r="I934" s="6">
        <f>I929-I930</f>
        <v>0</v>
      </c>
      <c r="J934" s="6">
        <f>J929-J930</f>
        <v>81750.420000000086</v>
      </c>
      <c r="K934" s="10">
        <v>0</v>
      </c>
    </row>
    <row r="935" spans="1:11" ht="18.75" x14ac:dyDescent="0.3">
      <c r="A935" s="6">
        <v>0</v>
      </c>
      <c r="B935" s="6">
        <f>B934/20*0.2</f>
        <v>419.00480000000101</v>
      </c>
      <c r="C935" s="6">
        <v>0</v>
      </c>
      <c r="D935" s="6">
        <v>0</v>
      </c>
      <c r="E935" s="6"/>
      <c r="F935" s="6">
        <f>F934/20*0.2</f>
        <v>267.00129999999984</v>
      </c>
      <c r="G935" s="6">
        <v>0</v>
      </c>
      <c r="H935" s="6">
        <v>0</v>
      </c>
      <c r="I935" s="6">
        <f>I934/20*0.6</f>
        <v>0</v>
      </c>
      <c r="J935" s="6">
        <f>J934/20*0.6</f>
        <v>2452.5126000000023</v>
      </c>
      <c r="K935" s="11">
        <v>0</v>
      </c>
    </row>
    <row r="936" spans="1:11" ht="18.75" x14ac:dyDescent="0.3">
      <c r="A936" s="6">
        <v>0</v>
      </c>
      <c r="B936" s="6">
        <f>B932-B935</f>
        <v>12763.805199999997</v>
      </c>
      <c r="C936" s="6">
        <v>0</v>
      </c>
      <c r="D936" s="6">
        <v>0</v>
      </c>
      <c r="E936" s="6">
        <v>0</v>
      </c>
      <c r="F936" s="6">
        <f>F932-F935</f>
        <v>-742.0012999999999</v>
      </c>
      <c r="G936" s="6">
        <v>0</v>
      </c>
      <c r="H936" s="6">
        <v>0</v>
      </c>
      <c r="I936" s="6">
        <f>I932-I935</f>
        <v>0</v>
      </c>
      <c r="J936" s="6">
        <f>J932-J935</f>
        <v>10255.297399999996</v>
      </c>
      <c r="K936" s="6" t="s">
        <v>18</v>
      </c>
    </row>
    <row r="937" spans="1:11" ht="18.75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ht="18.75" x14ac:dyDescent="0.3">
      <c r="A938" s="6">
        <v>0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10">
        <v>0</v>
      </c>
      <c r="I938" s="6">
        <f>I933-I936</f>
        <v>0</v>
      </c>
      <c r="J938" s="6">
        <v>0</v>
      </c>
      <c r="K938" s="6"/>
    </row>
    <row r="939" spans="1:11" ht="18.75" x14ac:dyDescent="0.3">
      <c r="A939" s="6"/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f>I934-I938</f>
        <v>0</v>
      </c>
      <c r="J939" s="6">
        <v>0</v>
      </c>
      <c r="K939" s="10">
        <v>0</v>
      </c>
    </row>
    <row r="940" spans="1:11" ht="18.75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ht="18.75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ht="18.75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ht="18.75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ht="18.75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9"/>
      <c r="K944" s="6"/>
    </row>
    <row r="945" spans="1:11" ht="18.75" x14ac:dyDescent="0.3">
      <c r="A945" s="6"/>
      <c r="B945" s="12"/>
      <c r="C945" s="12"/>
      <c r="D945" s="12"/>
      <c r="E945" s="12"/>
      <c r="F945" s="12"/>
      <c r="G945" s="12"/>
      <c r="H945" s="12"/>
      <c r="I945" s="12"/>
      <c r="J945" s="9"/>
      <c r="K945" s="6"/>
    </row>
    <row r="946" spans="1:11" ht="18.75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9"/>
      <c r="K946" s="6"/>
    </row>
    <row r="947" spans="1:11" ht="18.75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9"/>
      <c r="K947" s="6"/>
    </row>
    <row r="948" spans="1:11" ht="18.75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9"/>
      <c r="K948" s="6"/>
    </row>
    <row r="949" spans="1:11" ht="18.75" x14ac:dyDescent="0.3">
      <c r="A949" s="6"/>
      <c r="B949" s="12"/>
      <c r="C949" s="12"/>
      <c r="D949" s="6"/>
      <c r="E949" s="12"/>
      <c r="F949" s="12"/>
      <c r="G949" s="12"/>
      <c r="H949" s="6"/>
      <c r="I949" s="6"/>
      <c r="J949" s="9"/>
      <c r="K949" s="6"/>
    </row>
    <row r="950" spans="1:11" ht="18.75" x14ac:dyDescent="0.3">
      <c r="A950" s="6"/>
      <c r="B950" s="12"/>
      <c r="C950" s="12"/>
      <c r="D950" s="12"/>
      <c r="E950" s="12"/>
      <c r="F950" s="12"/>
      <c r="G950" s="6"/>
      <c r="H950" s="6"/>
      <c r="I950" s="6"/>
      <c r="J950" s="9"/>
      <c r="K950" s="6"/>
    </row>
    <row r="951" spans="1:11" ht="18.75" x14ac:dyDescent="0.3">
      <c r="A951" s="12"/>
      <c r="B951" s="12"/>
      <c r="C951" s="12"/>
      <c r="D951" s="6"/>
      <c r="E951" s="6"/>
      <c r="F951" s="6"/>
      <c r="G951" s="6"/>
      <c r="H951" s="6"/>
      <c r="I951" s="6"/>
      <c r="J951" s="9"/>
      <c r="K951" s="6"/>
    </row>
    <row r="952" spans="1:11" ht="18.75" x14ac:dyDescent="0.3">
      <c r="A952" s="12"/>
      <c r="B952" s="12"/>
      <c r="C952" s="12"/>
      <c r="D952" s="6"/>
      <c r="E952" s="6"/>
      <c r="F952" s="6"/>
      <c r="G952" s="6"/>
      <c r="H952" s="6"/>
      <c r="I952" s="6"/>
      <c r="J952" s="6"/>
      <c r="K952" s="6"/>
    </row>
    <row r="953" spans="1:11" ht="18.75" x14ac:dyDescent="0.3">
      <c r="A953" s="12"/>
      <c r="B953" s="12"/>
      <c r="C953" s="6"/>
      <c r="D953" s="6"/>
      <c r="E953" s="6"/>
      <c r="F953" s="6"/>
      <c r="G953" s="6"/>
      <c r="H953" s="6"/>
      <c r="I953" s="6"/>
      <c r="J953" s="6"/>
      <c r="K953" s="6"/>
    </row>
    <row r="954" spans="1:11" ht="18.75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ht="18.75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ht="18.75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ht="18.75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ht="18.75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ht="18.75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ht="18.75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ht="18.75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ht="18.75" x14ac:dyDescent="0.3">
      <c r="A962" s="12"/>
      <c r="B962" s="12"/>
      <c r="C962" s="6"/>
      <c r="D962" s="6"/>
      <c r="E962" s="6"/>
      <c r="F962" s="6"/>
      <c r="G962" s="6"/>
      <c r="H962" s="6"/>
      <c r="I962" s="6"/>
      <c r="J962" s="6"/>
      <c r="K962" s="6"/>
    </row>
    <row r="963" spans="1:11" ht="18.75" x14ac:dyDescent="0.3">
      <c r="A963" s="12"/>
      <c r="B963" s="12"/>
      <c r="C963" s="6"/>
      <c r="D963" s="6"/>
      <c r="E963" s="6"/>
      <c r="F963" s="6"/>
      <c r="G963" s="6"/>
      <c r="H963" s="6"/>
      <c r="I963" s="6"/>
      <c r="J963" s="6"/>
      <c r="K963" s="6"/>
    </row>
    <row r="964" spans="1:11" ht="18.75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ht="18.75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ht="18.75" x14ac:dyDescent="0.3">
      <c r="A966" s="6"/>
      <c r="B966" s="6"/>
      <c r="C966" s="12"/>
      <c r="D966" s="12"/>
      <c r="E966" s="6"/>
      <c r="F966" s="6"/>
      <c r="G966" s="6"/>
      <c r="H966" s="6"/>
      <c r="I966" s="6"/>
      <c r="J966" s="6"/>
      <c r="K966" s="6"/>
    </row>
    <row r="967" spans="1:11" ht="18.75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ht="18.75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ht="18.75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ht="18.75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ht="18.75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ht="18.75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ht="18.75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ht="18.75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ht="18.75" x14ac:dyDescent="0.3">
      <c r="A975" s="6"/>
      <c r="B975" s="12"/>
      <c r="C975" s="12"/>
      <c r="D975" s="12"/>
      <c r="E975" s="12"/>
      <c r="F975" s="12"/>
      <c r="G975" s="6"/>
      <c r="H975" s="12"/>
      <c r="I975" s="6"/>
      <c r="J975" s="6"/>
      <c r="K975" s="6"/>
    </row>
    <row r="976" spans="1:11" ht="18.75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ht="18.75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ht="18.75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ht="18.75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ht="18.75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ht="18.75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ht="18.75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ht="18.75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ht="18.75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ht="18.75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ht="18.75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ht="18.75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ht="18.75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ht="18.75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ht="18.75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ht="18.75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ht="18.75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ht="18.75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ht="18.75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ht="18.75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ht="18.75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ht="18.75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ht="18.75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 ht="18.75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 ht="18.75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 ht="18.75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 ht="18.75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 ht="18.75" x14ac:dyDescent="0.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 ht="18.75" x14ac:dyDescent="0.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 ht="18.75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ht="18.75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ht="18.75" x14ac:dyDescent="0.3">
      <c r="A1007" s="6"/>
      <c r="B1007" s="7"/>
      <c r="C1007" s="1"/>
      <c r="D1007" s="1"/>
      <c r="E1007" s="1"/>
      <c r="F1007" s="1"/>
      <c r="G1007" s="1"/>
      <c r="H1007" s="1"/>
      <c r="I1007" s="1"/>
      <c r="J1007" s="6"/>
      <c r="K1007" s="1"/>
    </row>
    <row r="1008" spans="1:11" ht="18.75" x14ac:dyDescent="0.3">
      <c r="A1008" s="6"/>
      <c r="B1008" s="7"/>
      <c r="C1008" s="1"/>
      <c r="D1008" s="1"/>
      <c r="E1008" s="1"/>
      <c r="F1008" s="1"/>
      <c r="G1008" s="1"/>
      <c r="H1008" s="1"/>
      <c r="I1008" s="1"/>
      <c r="J1008" s="6"/>
      <c r="K1008" s="1"/>
    </row>
    <row r="1009" spans="1:11" ht="18.75" x14ac:dyDescent="0.3">
      <c r="A1009" s="6"/>
      <c r="B1009" s="7"/>
      <c r="C1009" s="1"/>
      <c r="D1009" s="1"/>
      <c r="E1009" s="1"/>
      <c r="F1009" s="1"/>
      <c r="G1009" s="1"/>
      <c r="H1009" s="1"/>
      <c r="I1009" s="1"/>
      <c r="J1009" s="6"/>
      <c r="K1009" s="1"/>
    </row>
    <row r="1010" spans="1:11" ht="18.75" x14ac:dyDescent="0.3">
      <c r="A1010" s="6"/>
      <c r="B1010" s="7"/>
      <c r="C1010" s="1"/>
      <c r="D1010" s="1"/>
      <c r="E1010" s="1"/>
      <c r="F1010" s="1"/>
      <c r="G1010" s="1"/>
      <c r="H1010" s="1"/>
      <c r="I1010" s="1"/>
      <c r="J1010" s="6"/>
      <c r="K1010" s="1"/>
    </row>
    <row r="1011" spans="1:11" ht="18.75" x14ac:dyDescent="0.3">
      <c r="A1011" s="6"/>
      <c r="B1011" s="7"/>
      <c r="C1011" s="1"/>
      <c r="D1011" s="1"/>
      <c r="E1011" s="1"/>
      <c r="F1011" s="1"/>
      <c r="G1011" s="1"/>
      <c r="H1011" s="1"/>
      <c r="I1011" s="1"/>
      <c r="J1011" s="6"/>
      <c r="K1011" s="1"/>
    </row>
    <row r="1012" spans="1:11" ht="18.75" x14ac:dyDescent="0.3">
      <c r="A1012" s="6"/>
      <c r="B1012" s="7"/>
      <c r="C1012" s="1"/>
      <c r="D1012" s="1"/>
      <c r="E1012" s="1"/>
      <c r="F1012" s="1"/>
      <c r="G1012" s="1"/>
      <c r="H1012" s="1"/>
      <c r="I1012" s="1"/>
      <c r="J1012" s="6"/>
      <c r="K1012" s="1"/>
    </row>
    <row r="1013" spans="1:11" ht="18.75" x14ac:dyDescent="0.3">
      <c r="A1013" s="6"/>
      <c r="B1013" s="7"/>
      <c r="C1013" s="1"/>
      <c r="D1013" s="1"/>
      <c r="E1013" s="1"/>
      <c r="F1013" s="1"/>
      <c r="G1013" s="1"/>
      <c r="H1013" s="1"/>
      <c r="I1013" s="1"/>
      <c r="J1013" s="6"/>
      <c r="K1013" s="1"/>
    </row>
    <row r="1014" spans="1:11" ht="18.75" x14ac:dyDescent="0.3">
      <c r="A1014" s="6"/>
      <c r="B1014" s="7"/>
      <c r="C1014" s="1"/>
      <c r="D1014" s="1"/>
      <c r="E1014" s="1"/>
      <c r="F1014" s="1"/>
      <c r="G1014" s="1"/>
      <c r="H1014" s="1"/>
      <c r="I1014" s="1"/>
      <c r="J1014" s="6"/>
      <c r="K1014" s="1"/>
    </row>
    <row r="1015" spans="1:11" ht="18.75" x14ac:dyDescent="0.3">
      <c r="A1015" s="6"/>
      <c r="B1015" s="7"/>
      <c r="C1015" s="1"/>
      <c r="D1015" s="1"/>
      <c r="E1015" s="1"/>
      <c r="F1015" s="1"/>
      <c r="G1015" s="1"/>
      <c r="H1015" s="1"/>
      <c r="I1015" s="1"/>
      <c r="J1015" s="6"/>
      <c r="K1015" s="1"/>
    </row>
    <row r="1016" spans="1:11" ht="18.75" x14ac:dyDescent="0.3">
      <c r="A1016" s="6"/>
      <c r="B1016" s="7"/>
      <c r="C1016" s="1"/>
      <c r="D1016" s="1"/>
      <c r="E1016" s="1"/>
      <c r="F1016" s="1"/>
      <c r="G1016" s="1"/>
      <c r="H1016" s="1"/>
      <c r="I1016" s="1"/>
      <c r="J1016" s="6"/>
      <c r="K1016" s="1"/>
    </row>
    <row r="1017" spans="1:11" ht="18.75" x14ac:dyDescent="0.3">
      <c r="A1017" s="6"/>
      <c r="B1017" s="7"/>
      <c r="C1017" s="1"/>
      <c r="D1017" s="1"/>
      <c r="E1017" s="1"/>
      <c r="F1017" s="1"/>
      <c r="G1017" s="1"/>
      <c r="H1017" s="1"/>
      <c r="I1017" s="1"/>
      <c r="J1017" s="6"/>
      <c r="K1017" s="1"/>
    </row>
    <row r="1018" spans="1:11" ht="18.75" x14ac:dyDescent="0.3">
      <c r="A1018" s="6"/>
      <c r="B1018" s="7"/>
      <c r="C1018" s="1"/>
      <c r="D1018" s="1"/>
      <c r="E1018" s="1"/>
      <c r="F1018" s="1"/>
      <c r="G1018" s="1"/>
      <c r="H1018" s="1"/>
      <c r="I1018" s="1"/>
      <c r="J1018" s="6"/>
      <c r="K1018" s="1"/>
    </row>
    <row r="1019" spans="1:11" ht="18.75" x14ac:dyDescent="0.3">
      <c r="A1019" s="6"/>
      <c r="B1019" s="7"/>
      <c r="C1019" s="1"/>
      <c r="D1019" s="1"/>
      <c r="E1019" s="1"/>
      <c r="F1019" s="1"/>
      <c r="G1019" s="1"/>
      <c r="H1019" s="1"/>
      <c r="I1019" s="1"/>
      <c r="J1019" s="6"/>
      <c r="K1019" s="1"/>
    </row>
    <row r="1020" spans="1:11" ht="18.75" x14ac:dyDescent="0.3">
      <c r="A1020" s="6"/>
      <c r="B1020" s="7"/>
      <c r="C1020" s="1"/>
      <c r="D1020" s="1"/>
      <c r="E1020" s="1"/>
      <c r="F1020" s="1"/>
      <c r="G1020" s="1"/>
      <c r="H1020" s="1"/>
      <c r="I1020" s="1"/>
      <c r="J1020" s="6"/>
      <c r="K1020" s="1"/>
    </row>
    <row r="1021" spans="1:11" ht="18.75" x14ac:dyDescent="0.3">
      <c r="A1021" s="6"/>
      <c r="B1021" s="6"/>
      <c r="C1021" s="6"/>
      <c r="D1021" s="6"/>
      <c r="E1021" s="6"/>
      <c r="F1021" s="6">
        <v>0</v>
      </c>
      <c r="G1021" s="6"/>
      <c r="H1021" s="6"/>
      <c r="I1021" s="6"/>
      <c r="J1021" s="6"/>
      <c r="K1021" s="6"/>
    </row>
    <row r="1022" spans="1:11" ht="18.75" x14ac:dyDescent="0.3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 ht="18.75" x14ac:dyDescent="0.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 ht="18.75" x14ac:dyDescent="0.3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 ht="18.75" x14ac:dyDescent="0.3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 ht="18.75" x14ac:dyDescent="0.3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 ht="18.75" x14ac:dyDescent="0.3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 ht="18.75" x14ac:dyDescent="0.3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 ht="18.75" x14ac:dyDescent="0.3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 ht="18.75" x14ac:dyDescent="0.3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 ht="18.75" x14ac:dyDescent="0.3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 ht="18.75" x14ac:dyDescent="0.3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 ht="18.75" x14ac:dyDescent="0.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 ht="18.75" x14ac:dyDescent="0.3">
      <c r="A1034" s="13" t="s">
        <v>19</v>
      </c>
      <c r="B1034" s="1"/>
      <c r="C1034" s="1"/>
      <c r="D1034" s="1" t="s">
        <v>24</v>
      </c>
      <c r="E1034" s="1"/>
      <c r="F1034" s="1"/>
      <c r="G1034" s="1"/>
      <c r="H1034" s="6"/>
      <c r="I1034" s="6"/>
      <c r="J1034" s="6"/>
      <c r="K1034" s="6"/>
    </row>
    <row r="1035" spans="1:11" ht="18.75" x14ac:dyDescent="0.3">
      <c r="A1035" s="1" t="s">
        <v>18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ht="18.75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 t="s">
        <v>0</v>
      </c>
      <c r="K1036" s="1" t="s">
        <v>20</v>
      </c>
    </row>
    <row r="1037" spans="1:11" ht="18.75" x14ac:dyDescent="0.3">
      <c r="A1037" s="1"/>
      <c r="B1037" s="1" t="s">
        <v>2</v>
      </c>
      <c r="C1037" s="1" t="s">
        <v>3</v>
      </c>
      <c r="D1037" s="1" t="s">
        <v>4</v>
      </c>
      <c r="E1037" s="1" t="s">
        <v>5</v>
      </c>
      <c r="F1037" s="1" t="s">
        <v>6</v>
      </c>
      <c r="G1037" s="1" t="s">
        <v>7</v>
      </c>
      <c r="H1037" s="1" t="s">
        <v>8</v>
      </c>
      <c r="I1037" s="1" t="s">
        <v>9</v>
      </c>
      <c r="J1037" s="1" t="s">
        <v>1</v>
      </c>
      <c r="K1037" s="1" t="s">
        <v>1</v>
      </c>
    </row>
    <row r="1038" spans="1:11" ht="18.75" x14ac:dyDescent="0.3">
      <c r="A1038" s="2">
        <v>45139</v>
      </c>
      <c r="B1038" s="3">
        <f>730782.53-730194.28</f>
        <v>588.25</v>
      </c>
      <c r="C1038" s="3">
        <f>992988.65-990828.42</f>
        <v>2160.2299999999814</v>
      </c>
      <c r="D1038" s="1">
        <f t="shared" ref="D1038:D1068" si="91">282280.77-282280.77</f>
        <v>0</v>
      </c>
      <c r="E1038" s="3">
        <f>370249.43-370249.43</f>
        <v>0</v>
      </c>
      <c r="F1038" s="1">
        <f>26771.83-26771.83</f>
        <v>0</v>
      </c>
      <c r="G1038" s="1">
        <f>588581.27-588581.27</f>
        <v>0</v>
      </c>
      <c r="H1038" s="1">
        <f t="shared" ref="H1038:H1068" si="92">1081662-1081662</f>
        <v>0</v>
      </c>
      <c r="I1038" s="1"/>
      <c r="J1038" s="3">
        <f t="shared" ref="J1038" si="93">SUM(B1038:I1038)</f>
        <v>2748.4799999999814</v>
      </c>
      <c r="K1038" s="4">
        <f>J1038*617</f>
        <v>1695812.1599999885</v>
      </c>
    </row>
    <row r="1039" spans="1:11" ht="18.75" x14ac:dyDescent="0.3">
      <c r="A1039" s="2">
        <v>45140</v>
      </c>
      <c r="B1039" s="3">
        <f>731051.03-730782.53</f>
        <v>268.5</v>
      </c>
      <c r="C1039" s="3">
        <f>994033.7-992988.65</f>
        <v>1045.0499999999302</v>
      </c>
      <c r="D1039" s="1">
        <f t="shared" si="91"/>
        <v>0</v>
      </c>
      <c r="E1039" s="3">
        <f>370741.94-370249.43</f>
        <v>492.51000000000931</v>
      </c>
      <c r="F1039" s="1">
        <f>26774.83-26771.83</f>
        <v>3</v>
      </c>
      <c r="G1039" s="1">
        <f>589704.47-588581.27</f>
        <v>1123.1999999999534</v>
      </c>
      <c r="H1039" s="1">
        <f t="shared" si="92"/>
        <v>0</v>
      </c>
      <c r="I1039" s="1"/>
      <c r="J1039" s="3">
        <f t="shared" ref="J1039:J1040" si="94">SUM(B1039:I1039)</f>
        <v>2932.2599999998929</v>
      </c>
      <c r="K1039" s="4">
        <f t="shared" ref="K1039:K1068" si="95">J1039*617</f>
        <v>1809204.4199999338</v>
      </c>
    </row>
    <row r="1040" spans="1:11" ht="18.75" x14ac:dyDescent="0.3">
      <c r="A1040" s="2">
        <v>45141</v>
      </c>
      <c r="B1040" s="3">
        <f>731051.03-731051.03</f>
        <v>0</v>
      </c>
      <c r="C1040" s="3">
        <f>994033.7-994033.7</f>
        <v>0</v>
      </c>
      <c r="D1040" s="1">
        <f t="shared" si="91"/>
        <v>0</v>
      </c>
      <c r="E1040" s="3">
        <f>371040.7-370741.94</f>
        <v>298.76000000000931</v>
      </c>
      <c r="F1040" s="1">
        <f>27782.25-26774.83</f>
        <v>1007.4199999999983</v>
      </c>
      <c r="G1040" s="1">
        <f>591090.45-589704.47</f>
        <v>1385.9799999999814</v>
      </c>
      <c r="H1040" s="1">
        <f t="shared" si="92"/>
        <v>0</v>
      </c>
      <c r="I1040" s="1"/>
      <c r="J1040" s="3">
        <f t="shared" si="94"/>
        <v>2692.1599999999889</v>
      </c>
      <c r="K1040" s="4">
        <f t="shared" si="95"/>
        <v>1661062.7199999932</v>
      </c>
    </row>
    <row r="1041" spans="1:11" ht="18.75" x14ac:dyDescent="0.3">
      <c r="A1041" s="2">
        <v>45142</v>
      </c>
      <c r="B1041" s="3">
        <f>731051.03-731051.03</f>
        <v>0</v>
      </c>
      <c r="C1041" s="3">
        <f>995000.43-994033.7</f>
        <v>966.73000000009779</v>
      </c>
      <c r="D1041" s="1">
        <f t="shared" si="91"/>
        <v>0</v>
      </c>
      <c r="E1041" s="3">
        <f>371040.7-371040.7</f>
        <v>0</v>
      </c>
      <c r="F1041" s="1">
        <f>28620.86-27782.25</f>
        <v>838.61000000000058</v>
      </c>
      <c r="G1041" s="1">
        <f>591764.64-591090.45</f>
        <v>674.19000000006054</v>
      </c>
      <c r="H1041" s="1">
        <f t="shared" si="92"/>
        <v>0</v>
      </c>
      <c r="I1041" s="1"/>
      <c r="J1041" s="3">
        <f t="shared" ref="J1041:J1042" si="96">SUM(B1041:I1041)</f>
        <v>2479.5300000001589</v>
      </c>
      <c r="K1041" s="4">
        <f t="shared" si="95"/>
        <v>1529870.010000098</v>
      </c>
    </row>
    <row r="1042" spans="1:11" ht="18.75" x14ac:dyDescent="0.3">
      <c r="A1042" s="2">
        <v>45143</v>
      </c>
      <c r="B1042" s="3">
        <f>731051.03-731051.03</f>
        <v>0</v>
      </c>
      <c r="C1042" s="3">
        <f>995000.43-995000.43</f>
        <v>0</v>
      </c>
      <c r="D1042" s="1">
        <f t="shared" si="91"/>
        <v>0</v>
      </c>
      <c r="E1042" s="3">
        <f>371581.39-371040.7</f>
        <v>540.69000000000233</v>
      </c>
      <c r="F1042" s="1">
        <f>30768.43-28620.86</f>
        <v>2147.5699999999997</v>
      </c>
      <c r="G1042" s="1">
        <f t="shared" ref="G1042:G1050" si="97">591764.64-591764.64</f>
        <v>0</v>
      </c>
      <c r="H1042" s="1">
        <f t="shared" si="92"/>
        <v>0</v>
      </c>
      <c r="I1042" s="1"/>
      <c r="J1042" s="3">
        <f t="shared" si="96"/>
        <v>2688.260000000002</v>
      </c>
      <c r="K1042" s="4">
        <f t="shared" si="95"/>
        <v>1658656.4200000013</v>
      </c>
    </row>
    <row r="1043" spans="1:11" ht="18.75" x14ac:dyDescent="0.3">
      <c r="A1043" s="2">
        <v>45144</v>
      </c>
      <c r="B1043" s="3">
        <f>731051.03-731051.03</f>
        <v>0</v>
      </c>
      <c r="C1043" s="3">
        <f>996518.58-995000.43</f>
        <v>1518.1499999999069</v>
      </c>
      <c r="D1043" s="1">
        <f t="shared" si="91"/>
        <v>0</v>
      </c>
      <c r="E1043" s="3">
        <f>372355.71-371581.39</f>
        <v>774.32000000000698</v>
      </c>
      <c r="F1043" s="1">
        <f t="shared" ref="F1043:F1050" si="98">30768.43-30768.43</f>
        <v>0</v>
      </c>
      <c r="G1043" s="1">
        <f t="shared" si="97"/>
        <v>0</v>
      </c>
      <c r="H1043" s="1">
        <f t="shared" si="92"/>
        <v>0</v>
      </c>
      <c r="I1043" s="1"/>
      <c r="J1043" s="3">
        <f t="shared" ref="J1043" si="99">SUM(B1043:I1043)</f>
        <v>2292.4699999999139</v>
      </c>
      <c r="K1043" s="4">
        <f t="shared" si="95"/>
        <v>1414453.9899999469</v>
      </c>
    </row>
    <row r="1044" spans="1:11" ht="18.75" x14ac:dyDescent="0.3">
      <c r="A1044" s="2">
        <v>45145</v>
      </c>
      <c r="B1044" s="3">
        <f>731051.03-731051.03</f>
        <v>0</v>
      </c>
      <c r="C1044" s="3">
        <f>998517.69-996518.58</f>
        <v>1999.109999999986</v>
      </c>
      <c r="D1044" s="1">
        <f t="shared" si="91"/>
        <v>0</v>
      </c>
      <c r="E1044" s="3">
        <f>372817.24-372355.71</f>
        <v>461.52999999996973</v>
      </c>
      <c r="F1044" s="1">
        <f t="shared" si="98"/>
        <v>0</v>
      </c>
      <c r="G1044" s="1">
        <f t="shared" si="97"/>
        <v>0</v>
      </c>
      <c r="H1044" s="1">
        <f t="shared" si="92"/>
        <v>0</v>
      </c>
      <c r="I1044" s="1"/>
      <c r="J1044" s="3">
        <f t="shared" ref="J1044:J1048" si="100">SUM(B1044:I1044)</f>
        <v>2460.6399999999558</v>
      </c>
      <c r="K1044" s="4">
        <f t="shared" si="95"/>
        <v>1518214.8799999726</v>
      </c>
    </row>
    <row r="1045" spans="1:11" ht="18.75" x14ac:dyDescent="0.3">
      <c r="A1045" s="2">
        <v>45146</v>
      </c>
      <c r="B1045" s="3">
        <f>731543.08-731051.03</f>
        <v>492.04999999993015</v>
      </c>
      <c r="C1045" s="3">
        <f>999300.71-998517.69</f>
        <v>783.02000000001863</v>
      </c>
      <c r="D1045" s="1">
        <f t="shared" si="91"/>
        <v>0</v>
      </c>
      <c r="E1045" s="3">
        <f>374017.41-372817.24</f>
        <v>1200.1699999999837</v>
      </c>
      <c r="F1045" s="1">
        <f t="shared" si="98"/>
        <v>0</v>
      </c>
      <c r="G1045" s="1">
        <f t="shared" si="97"/>
        <v>0</v>
      </c>
      <c r="H1045" s="1">
        <f t="shared" si="92"/>
        <v>0</v>
      </c>
      <c r="I1045" s="1"/>
      <c r="J1045" s="3">
        <f t="shared" si="100"/>
        <v>2475.2399999999325</v>
      </c>
      <c r="K1045" s="4">
        <f t="shared" si="95"/>
        <v>1527223.0799999584</v>
      </c>
    </row>
    <row r="1046" spans="1:11" ht="18.75" x14ac:dyDescent="0.3">
      <c r="A1046" s="2">
        <v>45147</v>
      </c>
      <c r="B1046" s="3">
        <f>731543.08-731543.08</f>
        <v>0</v>
      </c>
      <c r="C1046" s="3">
        <f>1001561.69-999300.71</f>
        <v>2260.9799999999814</v>
      </c>
      <c r="D1046" s="1">
        <f t="shared" si="91"/>
        <v>0</v>
      </c>
      <c r="E1046" s="3">
        <f>374587.81-374017.41</f>
        <v>570.40000000002328</v>
      </c>
      <c r="F1046" s="1">
        <f t="shared" si="98"/>
        <v>0</v>
      </c>
      <c r="G1046" s="1">
        <f t="shared" si="97"/>
        <v>0</v>
      </c>
      <c r="H1046" s="1">
        <f t="shared" si="92"/>
        <v>0</v>
      </c>
      <c r="I1046" s="1"/>
      <c r="J1046" s="3">
        <f t="shared" si="100"/>
        <v>2831.3800000000047</v>
      </c>
      <c r="K1046" s="4">
        <f t="shared" si="95"/>
        <v>1746961.4600000028</v>
      </c>
    </row>
    <row r="1047" spans="1:11" ht="18.75" x14ac:dyDescent="0.3">
      <c r="A1047" s="2">
        <v>45148</v>
      </c>
      <c r="B1047" s="3">
        <f>731543.08-731543.08</f>
        <v>0</v>
      </c>
      <c r="C1047" s="3">
        <f>2734.42-1561.69</f>
        <v>1172.73</v>
      </c>
      <c r="D1047" s="1">
        <f t="shared" si="91"/>
        <v>0</v>
      </c>
      <c r="E1047" s="3">
        <f>375950.48-374587.81</f>
        <v>1362.6699999999837</v>
      </c>
      <c r="F1047" s="1">
        <f t="shared" si="98"/>
        <v>0</v>
      </c>
      <c r="G1047" s="1">
        <f t="shared" si="97"/>
        <v>0</v>
      </c>
      <c r="H1047" s="1">
        <f t="shared" si="92"/>
        <v>0</v>
      </c>
      <c r="I1047" s="1"/>
      <c r="J1047" s="3">
        <f t="shared" si="100"/>
        <v>2535.3999999999837</v>
      </c>
      <c r="K1047" s="4">
        <f t="shared" si="95"/>
        <v>1564341.79999999</v>
      </c>
    </row>
    <row r="1048" spans="1:11" ht="18.75" x14ac:dyDescent="0.3">
      <c r="A1048" s="2">
        <v>45149</v>
      </c>
      <c r="B1048" s="3">
        <f>731543.08-731543.08</f>
        <v>0</v>
      </c>
      <c r="C1048" s="3">
        <f>4445.11-2734.42</f>
        <v>1710.6899999999996</v>
      </c>
      <c r="D1048" s="1">
        <f t="shared" si="91"/>
        <v>0</v>
      </c>
      <c r="E1048" s="3">
        <f>376879.15-375950.48</f>
        <v>928.67000000004191</v>
      </c>
      <c r="F1048" s="1">
        <f t="shared" si="98"/>
        <v>0</v>
      </c>
      <c r="G1048" s="1">
        <f t="shared" si="97"/>
        <v>0</v>
      </c>
      <c r="H1048" s="1">
        <f t="shared" si="92"/>
        <v>0</v>
      </c>
      <c r="I1048" s="1"/>
      <c r="J1048" s="3">
        <f t="shared" si="100"/>
        <v>2639.3600000000415</v>
      </c>
      <c r="K1048" s="4">
        <f t="shared" si="95"/>
        <v>1628485.1200000257</v>
      </c>
    </row>
    <row r="1049" spans="1:11" ht="18.75" x14ac:dyDescent="0.3">
      <c r="A1049" s="2">
        <v>45150</v>
      </c>
      <c r="B1049" s="3">
        <f>731543.08-731543.08</f>
        <v>0</v>
      </c>
      <c r="C1049" s="3">
        <f>6398.17-4445.11</f>
        <v>1953.0600000000004</v>
      </c>
      <c r="D1049" s="1">
        <f t="shared" si="91"/>
        <v>0</v>
      </c>
      <c r="E1049" s="3">
        <f>378143.72-376879.15</f>
        <v>1264.5699999999488</v>
      </c>
      <c r="F1049" s="1">
        <f t="shared" si="98"/>
        <v>0</v>
      </c>
      <c r="G1049" s="1">
        <f t="shared" si="97"/>
        <v>0</v>
      </c>
      <c r="H1049" s="1">
        <f t="shared" si="92"/>
        <v>0</v>
      </c>
      <c r="I1049" s="1"/>
      <c r="J1049" s="3">
        <f t="shared" ref="J1049:J1050" si="101">SUM(B1049:I1049)</f>
        <v>3217.6299999999492</v>
      </c>
      <c r="K1049" s="4">
        <f t="shared" si="95"/>
        <v>1985277.7099999685</v>
      </c>
    </row>
    <row r="1050" spans="1:11" ht="18.75" x14ac:dyDescent="0.3">
      <c r="A1050" s="2">
        <v>45151</v>
      </c>
      <c r="B1050" s="3">
        <f>731543.08-731543.08</f>
        <v>0</v>
      </c>
      <c r="C1050" s="3">
        <f>6398.17-6398.17</f>
        <v>0</v>
      </c>
      <c r="D1050" s="1">
        <f t="shared" si="91"/>
        <v>0</v>
      </c>
      <c r="E1050" s="3">
        <f>380382.9-378143.72</f>
        <v>2239.1800000000512</v>
      </c>
      <c r="F1050" s="1">
        <f t="shared" si="98"/>
        <v>0</v>
      </c>
      <c r="G1050" s="1">
        <f t="shared" si="97"/>
        <v>0</v>
      </c>
      <c r="H1050" s="1">
        <f t="shared" si="92"/>
        <v>0</v>
      </c>
      <c r="I1050" s="1"/>
      <c r="J1050" s="3">
        <f t="shared" si="101"/>
        <v>2239.1800000000512</v>
      </c>
      <c r="K1050" s="4">
        <f t="shared" si="95"/>
        <v>1381574.0600000317</v>
      </c>
    </row>
    <row r="1051" spans="1:11" ht="18.75" x14ac:dyDescent="0.3">
      <c r="A1051" s="2">
        <v>45152</v>
      </c>
      <c r="B1051" s="3">
        <f>732058.69-731543.08</f>
        <v>515.60999999998603</v>
      </c>
      <c r="C1051" s="3">
        <f>6398.17-6398.17</f>
        <v>0</v>
      </c>
      <c r="D1051" s="1">
        <f t="shared" si="91"/>
        <v>0</v>
      </c>
      <c r="E1051" s="3">
        <f>381402.6-380382.9</f>
        <v>1019.6999999999534</v>
      </c>
      <c r="F1051" s="1">
        <f>30840.93-30768.43</f>
        <v>72.5</v>
      </c>
      <c r="G1051" s="1">
        <f>592944.45-591764.64</f>
        <v>1179.8099999999395</v>
      </c>
      <c r="H1051" s="1">
        <f t="shared" si="92"/>
        <v>0</v>
      </c>
      <c r="I1051" s="1"/>
      <c r="J1051" s="3">
        <f t="shared" ref="J1051:J1056" si="102">SUM(B1051:I1051)</f>
        <v>2787.6199999998789</v>
      </c>
      <c r="K1051" s="4">
        <f t="shared" si="95"/>
        <v>1719961.5399999253</v>
      </c>
    </row>
    <row r="1052" spans="1:11" ht="18.75" x14ac:dyDescent="0.3">
      <c r="A1052" s="2">
        <v>45153</v>
      </c>
      <c r="B1052" s="3">
        <f t="shared" ref="B1052:B1061" si="103">732058.69-732058.69</f>
        <v>0</v>
      </c>
      <c r="C1052" s="3">
        <f>6398.17-6398.17</f>
        <v>0</v>
      </c>
      <c r="D1052" s="1">
        <f t="shared" si="91"/>
        <v>0</v>
      </c>
      <c r="E1052" s="3">
        <f>381746.18-381402.6</f>
        <v>343.5800000000163</v>
      </c>
      <c r="F1052" s="1">
        <f>30840.93-30840.93</f>
        <v>0</v>
      </c>
      <c r="G1052" s="1">
        <f>594822.59-592944.45</f>
        <v>1878.140000000014</v>
      </c>
      <c r="H1052" s="1">
        <f t="shared" si="92"/>
        <v>0</v>
      </c>
      <c r="I1052" s="1"/>
      <c r="J1052" s="3">
        <f t="shared" si="102"/>
        <v>2221.7200000000303</v>
      </c>
      <c r="K1052" s="4">
        <f t="shared" si="95"/>
        <v>1370801.2400000186</v>
      </c>
    </row>
    <row r="1053" spans="1:11" ht="18.75" x14ac:dyDescent="0.3">
      <c r="A1053" s="2">
        <v>45154</v>
      </c>
      <c r="B1053" s="3">
        <f t="shared" si="103"/>
        <v>0</v>
      </c>
      <c r="C1053" s="3">
        <f>6398.17-6398.17</f>
        <v>0</v>
      </c>
      <c r="D1053" s="1">
        <f t="shared" si="91"/>
        <v>0</v>
      </c>
      <c r="E1053" s="3">
        <f>382632.38-381746.18</f>
        <v>886.20000000001164</v>
      </c>
      <c r="F1053" s="1">
        <f>30840.93-30840.93</f>
        <v>0</v>
      </c>
      <c r="G1053" s="1">
        <f>596358.76-594822.59</f>
        <v>1536.1700000000419</v>
      </c>
      <c r="H1053" s="1">
        <f t="shared" si="92"/>
        <v>0</v>
      </c>
      <c r="I1053" s="1"/>
      <c r="J1053" s="3">
        <f t="shared" si="102"/>
        <v>2422.3700000000536</v>
      </c>
      <c r="K1053" s="4">
        <f t="shared" si="95"/>
        <v>1494602.2900000331</v>
      </c>
    </row>
    <row r="1054" spans="1:11" ht="18.75" x14ac:dyDescent="0.3">
      <c r="A1054" s="2">
        <v>45155</v>
      </c>
      <c r="B1054" s="3">
        <f t="shared" si="103"/>
        <v>0</v>
      </c>
      <c r="C1054" s="3">
        <f>7429.67-6398.17</f>
        <v>1031.5</v>
      </c>
      <c r="D1054" s="1">
        <f t="shared" si="91"/>
        <v>0</v>
      </c>
      <c r="E1054" s="3">
        <f>382632.38-382632.38</f>
        <v>0</v>
      </c>
      <c r="F1054" s="1">
        <f>32321.52-30840.93</f>
        <v>1480.5900000000001</v>
      </c>
      <c r="G1054" s="1">
        <f>596358.76-596358.76</f>
        <v>0</v>
      </c>
      <c r="H1054" s="1">
        <f t="shared" si="92"/>
        <v>0</v>
      </c>
      <c r="I1054" s="1"/>
      <c r="J1054" s="3">
        <f t="shared" si="102"/>
        <v>2512.09</v>
      </c>
      <c r="K1054" s="4">
        <f t="shared" si="95"/>
        <v>1549959.53</v>
      </c>
    </row>
    <row r="1055" spans="1:11" ht="18.75" x14ac:dyDescent="0.3">
      <c r="A1055" s="2">
        <v>45156</v>
      </c>
      <c r="B1055" s="3">
        <f t="shared" si="103"/>
        <v>0</v>
      </c>
      <c r="C1055" s="3">
        <f>8724.82-7429.67</f>
        <v>1295.1499999999996</v>
      </c>
      <c r="D1055" s="1">
        <f t="shared" si="91"/>
        <v>0</v>
      </c>
      <c r="E1055" s="3">
        <f>382632.38-382632.38</f>
        <v>0</v>
      </c>
      <c r="F1055" s="1">
        <f t="shared" ref="F1055:F1065" si="104">32321.52-32321.52</f>
        <v>0</v>
      </c>
      <c r="G1055" s="1">
        <f>597507.84-596358.76</f>
        <v>1149.0799999999581</v>
      </c>
      <c r="H1055" s="1">
        <f t="shared" si="92"/>
        <v>0</v>
      </c>
      <c r="I1055" s="1"/>
      <c r="J1055" s="3">
        <f t="shared" si="102"/>
        <v>2444.2299999999577</v>
      </c>
      <c r="K1055" s="4">
        <f t="shared" si="95"/>
        <v>1508089.9099999738</v>
      </c>
    </row>
    <row r="1056" spans="1:11" ht="18.75" x14ac:dyDescent="0.3">
      <c r="A1056" s="2">
        <v>45157</v>
      </c>
      <c r="B1056" s="3">
        <f t="shared" si="103"/>
        <v>0</v>
      </c>
      <c r="C1056" s="3">
        <f>10561.05-8724.82</f>
        <v>1836.2299999999996</v>
      </c>
      <c r="D1056" s="1">
        <f t="shared" si="91"/>
        <v>0</v>
      </c>
      <c r="E1056" s="3">
        <f>383608.86-382632.38</f>
        <v>976.47999999998137</v>
      </c>
      <c r="F1056" s="1">
        <f t="shared" si="104"/>
        <v>0</v>
      </c>
      <c r="G1056" s="1">
        <f t="shared" ref="G1056:G1065" si="105">597507.84-597507.84</f>
        <v>0</v>
      </c>
      <c r="H1056" s="1">
        <f t="shared" si="92"/>
        <v>0</v>
      </c>
      <c r="I1056" s="1"/>
      <c r="J1056" s="3">
        <f t="shared" si="102"/>
        <v>2812.7099999999809</v>
      </c>
      <c r="K1056" s="4">
        <f t="shared" si="95"/>
        <v>1735442.0699999882</v>
      </c>
    </row>
    <row r="1057" spans="1:11" ht="18.75" x14ac:dyDescent="0.3">
      <c r="A1057" s="2">
        <v>45158</v>
      </c>
      <c r="B1057" s="3">
        <f t="shared" si="103"/>
        <v>0</v>
      </c>
      <c r="C1057" s="3">
        <f>11541.33-10561.05</f>
        <v>980.28000000000065</v>
      </c>
      <c r="D1057" s="1">
        <f t="shared" si="91"/>
        <v>0</v>
      </c>
      <c r="E1057" s="3">
        <f>385210.9-383608.86</f>
        <v>1602.0400000000373</v>
      </c>
      <c r="F1057" s="1">
        <f t="shared" si="104"/>
        <v>0</v>
      </c>
      <c r="G1057" s="1">
        <f t="shared" si="105"/>
        <v>0</v>
      </c>
      <c r="H1057" s="1">
        <f t="shared" si="92"/>
        <v>0</v>
      </c>
      <c r="I1057" s="1"/>
      <c r="J1057" s="3">
        <f t="shared" ref="J1057:J1064" si="106">SUM(B1057:I1057)</f>
        <v>2582.3200000000379</v>
      </c>
      <c r="K1057" s="4">
        <f t="shared" si="95"/>
        <v>1593291.4400000235</v>
      </c>
    </row>
    <row r="1058" spans="1:11" ht="18.75" x14ac:dyDescent="0.3">
      <c r="A1058" s="2">
        <v>45159</v>
      </c>
      <c r="B1058" s="3">
        <f t="shared" si="103"/>
        <v>0</v>
      </c>
      <c r="C1058" s="3">
        <f>12173.82-11541.33</f>
        <v>632.48999999999978</v>
      </c>
      <c r="D1058" s="1">
        <f t="shared" si="91"/>
        <v>0</v>
      </c>
      <c r="E1058" s="3">
        <f>387158.31-385210.9</f>
        <v>1947.4099999999744</v>
      </c>
      <c r="F1058" s="1">
        <f t="shared" si="104"/>
        <v>0</v>
      </c>
      <c r="G1058" s="1">
        <f t="shared" si="105"/>
        <v>0</v>
      </c>
      <c r="H1058" s="1">
        <f t="shared" si="92"/>
        <v>0</v>
      </c>
      <c r="I1058" s="1"/>
      <c r="J1058" s="3">
        <f t="shared" si="106"/>
        <v>2579.8999999999742</v>
      </c>
      <c r="K1058" s="4">
        <f t="shared" si="95"/>
        <v>1591798.299999984</v>
      </c>
    </row>
    <row r="1059" spans="1:11" ht="18.75" x14ac:dyDescent="0.3">
      <c r="A1059" s="2">
        <v>45160</v>
      </c>
      <c r="B1059" s="3">
        <f t="shared" si="103"/>
        <v>0</v>
      </c>
      <c r="C1059" s="3">
        <f>13263.3-12173.82</f>
        <v>1089.4799999999996</v>
      </c>
      <c r="D1059" s="1">
        <f t="shared" si="91"/>
        <v>0</v>
      </c>
      <c r="E1059" s="3">
        <f>388205.17-387158.31</f>
        <v>1046.859999999986</v>
      </c>
      <c r="F1059" s="1">
        <f t="shared" si="104"/>
        <v>0</v>
      </c>
      <c r="G1059" s="1">
        <f t="shared" si="105"/>
        <v>0</v>
      </c>
      <c r="H1059" s="1">
        <f t="shared" si="92"/>
        <v>0</v>
      </c>
      <c r="I1059" s="1"/>
      <c r="J1059" s="3">
        <f t="shared" si="106"/>
        <v>2136.3399999999856</v>
      </c>
      <c r="K1059" s="4">
        <f t="shared" si="95"/>
        <v>1318121.7799999912</v>
      </c>
    </row>
    <row r="1060" spans="1:11" ht="18.75" x14ac:dyDescent="0.3">
      <c r="A1060" s="2">
        <v>45161</v>
      </c>
      <c r="B1060" s="3">
        <f t="shared" si="103"/>
        <v>0</v>
      </c>
      <c r="C1060" s="3">
        <f>13901.04-13263.3</f>
        <v>637.7400000000016</v>
      </c>
      <c r="D1060" s="1">
        <f t="shared" si="91"/>
        <v>0</v>
      </c>
      <c r="E1060" s="3">
        <f>390348.61-388205.17</f>
        <v>2143.4400000000023</v>
      </c>
      <c r="F1060" s="1">
        <f t="shared" si="104"/>
        <v>0</v>
      </c>
      <c r="G1060" s="1">
        <f t="shared" si="105"/>
        <v>0</v>
      </c>
      <c r="H1060" s="1">
        <f t="shared" si="92"/>
        <v>0</v>
      </c>
      <c r="I1060" s="1"/>
      <c r="J1060" s="3">
        <f t="shared" si="106"/>
        <v>2781.1800000000039</v>
      </c>
      <c r="K1060" s="4">
        <f t="shared" si="95"/>
        <v>1715988.0600000024</v>
      </c>
    </row>
    <row r="1061" spans="1:11" ht="18.75" x14ac:dyDescent="0.3">
      <c r="A1061" s="2">
        <v>45162</v>
      </c>
      <c r="B1061" s="3">
        <f t="shared" si="103"/>
        <v>0</v>
      </c>
      <c r="C1061" s="3">
        <f>14850.05-13901.04</f>
        <v>949.0099999999984</v>
      </c>
      <c r="D1061" s="1">
        <f t="shared" si="91"/>
        <v>0</v>
      </c>
      <c r="E1061" s="3">
        <f>391564.75-390348.61</f>
        <v>1216.140000000014</v>
      </c>
      <c r="F1061" s="1">
        <f t="shared" si="104"/>
        <v>0</v>
      </c>
      <c r="G1061" s="1">
        <f t="shared" si="105"/>
        <v>0</v>
      </c>
      <c r="H1061" s="1">
        <f t="shared" si="92"/>
        <v>0</v>
      </c>
      <c r="I1061" s="1"/>
      <c r="J1061" s="3">
        <f t="shared" si="106"/>
        <v>2165.1500000000124</v>
      </c>
      <c r="K1061" s="4">
        <f t="shared" si="95"/>
        <v>1335897.5500000077</v>
      </c>
    </row>
    <row r="1062" spans="1:11" ht="18.75" x14ac:dyDescent="0.3">
      <c r="A1062" s="2">
        <v>45163</v>
      </c>
      <c r="B1062" s="3">
        <f>733344.15-732058.69</f>
        <v>1285.4600000000792</v>
      </c>
      <c r="C1062" s="3">
        <f>15664.88-14850.05</f>
        <v>814.82999999999993</v>
      </c>
      <c r="D1062" s="1">
        <f t="shared" si="91"/>
        <v>0</v>
      </c>
      <c r="E1062" s="3">
        <f>391778.84-391564.75</f>
        <v>214.09000000002561</v>
      </c>
      <c r="F1062" s="1">
        <f t="shared" si="104"/>
        <v>0</v>
      </c>
      <c r="G1062" s="1">
        <f t="shared" si="105"/>
        <v>0</v>
      </c>
      <c r="H1062" s="1">
        <f t="shared" si="92"/>
        <v>0</v>
      </c>
      <c r="I1062" s="1"/>
      <c r="J1062" s="3">
        <f t="shared" si="106"/>
        <v>2314.3800000001047</v>
      </c>
      <c r="K1062" s="4">
        <f t="shared" si="95"/>
        <v>1427972.4600000647</v>
      </c>
    </row>
    <row r="1063" spans="1:11" ht="18.75" x14ac:dyDescent="0.3">
      <c r="A1063" s="2">
        <v>45164</v>
      </c>
      <c r="B1063" s="3">
        <f t="shared" ref="B1063:B1068" si="107">733344.15-733344.15</f>
        <v>0</v>
      </c>
      <c r="C1063" s="3">
        <f>16928.79-15664.88</f>
        <v>1263.9100000000017</v>
      </c>
      <c r="D1063" s="1">
        <f t="shared" si="91"/>
        <v>0</v>
      </c>
      <c r="E1063" s="3">
        <f>393092.01-391778.84</f>
        <v>1313.1699999999837</v>
      </c>
      <c r="F1063" s="1">
        <f t="shared" si="104"/>
        <v>0</v>
      </c>
      <c r="G1063" s="1">
        <f t="shared" si="105"/>
        <v>0</v>
      </c>
      <c r="H1063" s="1">
        <f t="shared" si="92"/>
        <v>0</v>
      </c>
      <c r="I1063" s="1"/>
      <c r="J1063" s="3">
        <f t="shared" si="106"/>
        <v>2577.0799999999854</v>
      </c>
      <c r="K1063" s="4">
        <f t="shared" si="95"/>
        <v>1590058.359999991</v>
      </c>
    </row>
    <row r="1064" spans="1:11" ht="18.75" x14ac:dyDescent="0.3">
      <c r="A1064" s="2">
        <v>45165</v>
      </c>
      <c r="B1064" s="3">
        <f t="shared" si="107"/>
        <v>0</v>
      </c>
      <c r="C1064" s="3">
        <f>18365.55-16928.79</f>
        <v>1436.7599999999984</v>
      </c>
      <c r="D1064" s="1">
        <f t="shared" si="91"/>
        <v>0</v>
      </c>
      <c r="E1064" s="3">
        <f>393753.97-393092.01</f>
        <v>661.95999999996275</v>
      </c>
      <c r="F1064" s="1">
        <f t="shared" si="104"/>
        <v>0</v>
      </c>
      <c r="G1064" s="1">
        <f t="shared" si="105"/>
        <v>0</v>
      </c>
      <c r="H1064" s="1">
        <f t="shared" si="92"/>
        <v>0</v>
      </c>
      <c r="I1064" s="1"/>
      <c r="J1064" s="3">
        <f t="shared" si="106"/>
        <v>2098.7199999999611</v>
      </c>
      <c r="K1064" s="4">
        <f t="shared" si="95"/>
        <v>1294910.239999976</v>
      </c>
    </row>
    <row r="1065" spans="1:11" ht="18.75" x14ac:dyDescent="0.3">
      <c r="A1065" s="2">
        <v>45166</v>
      </c>
      <c r="B1065" s="3">
        <f t="shared" si="107"/>
        <v>0</v>
      </c>
      <c r="C1065" s="3">
        <f>20365.93-18365.55</f>
        <v>2000.380000000001</v>
      </c>
      <c r="D1065" s="1">
        <f t="shared" si="91"/>
        <v>0</v>
      </c>
      <c r="E1065" s="3">
        <f>395224.31-393753.97</f>
        <v>1470.3400000000256</v>
      </c>
      <c r="F1065" s="1">
        <f t="shared" si="104"/>
        <v>0</v>
      </c>
      <c r="G1065" s="1">
        <f t="shared" si="105"/>
        <v>0</v>
      </c>
      <c r="H1065" s="1">
        <f t="shared" si="92"/>
        <v>0</v>
      </c>
      <c r="I1065" s="1"/>
      <c r="J1065" s="3">
        <f t="shared" ref="J1065" si="108">SUM(B1065:I1065)</f>
        <v>3470.7200000000266</v>
      </c>
      <c r="K1065" s="4">
        <f t="shared" si="95"/>
        <v>2141434.2400000165</v>
      </c>
    </row>
    <row r="1066" spans="1:11" ht="18.75" x14ac:dyDescent="0.3">
      <c r="A1066" s="2">
        <v>45167</v>
      </c>
      <c r="B1066" s="3">
        <f t="shared" si="107"/>
        <v>0</v>
      </c>
      <c r="C1066" s="3">
        <f>22260.75-20365.93</f>
        <v>1894.8199999999997</v>
      </c>
      <c r="D1066" s="1">
        <f t="shared" si="91"/>
        <v>0</v>
      </c>
      <c r="E1066" s="3">
        <f>395934.41-395224.31</f>
        <v>710.09999999997672</v>
      </c>
      <c r="F1066" s="1">
        <f>32323.13-32321.52</f>
        <v>1.6100000000005821</v>
      </c>
      <c r="G1066" s="1">
        <f>597509.18-597507.84</f>
        <v>1.340000000083819</v>
      </c>
      <c r="H1066" s="1">
        <f t="shared" si="92"/>
        <v>0</v>
      </c>
      <c r="I1066" s="1"/>
      <c r="J1066" s="3">
        <f t="shared" ref="J1066:J1068" si="109">SUM(B1066:I1066)</f>
        <v>2607.8700000000608</v>
      </c>
      <c r="K1066" s="4">
        <f t="shared" si="95"/>
        <v>1609055.7900000375</v>
      </c>
    </row>
    <row r="1067" spans="1:11" ht="18.75" x14ac:dyDescent="0.3">
      <c r="A1067" s="2">
        <v>45168</v>
      </c>
      <c r="B1067" s="3">
        <f t="shared" si="107"/>
        <v>0</v>
      </c>
      <c r="C1067" s="3">
        <f>22927.2-22260.75</f>
        <v>666.45000000000073</v>
      </c>
      <c r="D1067" s="1">
        <f t="shared" si="91"/>
        <v>0</v>
      </c>
      <c r="E1067" s="3">
        <f>396959.93-395934.41</f>
        <v>1025.5200000000186</v>
      </c>
      <c r="F1067" s="1">
        <f>33327.58-32323.13</f>
        <v>1004.4500000000007</v>
      </c>
      <c r="G1067" s="1">
        <f>597524.61-597509.18</f>
        <v>15.429999999934807</v>
      </c>
      <c r="H1067" s="1">
        <f t="shared" si="92"/>
        <v>0</v>
      </c>
      <c r="I1067" s="1"/>
      <c r="J1067" s="3">
        <f t="shared" si="109"/>
        <v>2711.8499999999549</v>
      </c>
      <c r="K1067" s="4">
        <f t="shared" si="95"/>
        <v>1673211.4499999722</v>
      </c>
    </row>
    <row r="1068" spans="1:11" ht="18.75" x14ac:dyDescent="0.3">
      <c r="A1068" s="2">
        <v>45169</v>
      </c>
      <c r="B1068" s="3">
        <f t="shared" si="107"/>
        <v>0</v>
      </c>
      <c r="C1068" s="3">
        <f>22927.2-22927.2</f>
        <v>0</v>
      </c>
      <c r="D1068" s="1">
        <f t="shared" si="91"/>
        <v>0</v>
      </c>
      <c r="E1068" s="3">
        <f>397719.7-396959.93</f>
        <v>759.77000000001863</v>
      </c>
      <c r="F1068" s="1">
        <f>33735.19-33327.58</f>
        <v>407.61000000000058</v>
      </c>
      <c r="G1068" s="1">
        <f>598816.22-597524.61</f>
        <v>1291.609999999986</v>
      </c>
      <c r="H1068" s="1">
        <f t="shared" si="92"/>
        <v>0</v>
      </c>
      <c r="I1068" s="1"/>
      <c r="J1068" s="3">
        <f t="shared" si="109"/>
        <v>2458.9900000000052</v>
      </c>
      <c r="K1068" s="4">
        <f t="shared" si="95"/>
        <v>1517196.8300000033</v>
      </c>
    </row>
    <row r="1069" spans="1:11" ht="18.75" x14ac:dyDescent="0.3">
      <c r="A1069" s="5" t="s">
        <v>10</v>
      </c>
      <c r="B1069" s="5" t="s">
        <v>10</v>
      </c>
      <c r="C1069" s="5" t="s">
        <v>10</v>
      </c>
      <c r="D1069" s="5" t="s">
        <v>10</v>
      </c>
      <c r="E1069" s="5" t="s">
        <v>10</v>
      </c>
      <c r="F1069" s="5" t="s">
        <v>10</v>
      </c>
      <c r="G1069" s="5" t="s">
        <v>10</v>
      </c>
      <c r="H1069" s="5" t="s">
        <v>10</v>
      </c>
      <c r="I1069" s="5" t="s">
        <v>10</v>
      </c>
      <c r="J1069" s="5" t="s">
        <v>10</v>
      </c>
      <c r="K1069" s="5" t="s">
        <v>10</v>
      </c>
    </row>
    <row r="1070" spans="1:11" ht="18.75" x14ac:dyDescent="0.3">
      <c r="A1070" s="6" t="s">
        <v>11</v>
      </c>
      <c r="B1070" s="6">
        <f t="shared" ref="B1070:K1070" si="110">SUM(B1038:B1069)</f>
        <v>3149.8699999999953</v>
      </c>
      <c r="C1070" s="6">
        <f t="shared" si="110"/>
        <v>32098.779999999901</v>
      </c>
      <c r="D1070" s="6">
        <f t="shared" si="110"/>
        <v>0</v>
      </c>
      <c r="E1070" s="6">
        <f t="shared" si="110"/>
        <v>27470.270000000019</v>
      </c>
      <c r="F1070" s="6">
        <f t="shared" si="110"/>
        <v>6963.3600000000006</v>
      </c>
      <c r="G1070" s="6">
        <f t="shared" si="110"/>
        <v>10234.949999999953</v>
      </c>
      <c r="H1070" s="6">
        <f t="shared" si="110"/>
        <v>0</v>
      </c>
      <c r="I1070" s="6">
        <f t="shared" si="110"/>
        <v>0</v>
      </c>
      <c r="J1070" s="6">
        <f t="shared" si="110"/>
        <v>79917.22999999988</v>
      </c>
      <c r="K1070" s="6">
        <f t="shared" si="110"/>
        <v>49308930.909999922</v>
      </c>
    </row>
    <row r="1071" spans="1:11" ht="18.75" x14ac:dyDescent="0.3">
      <c r="A1071" s="5" t="s">
        <v>10</v>
      </c>
      <c r="B1071" s="5" t="s">
        <v>12</v>
      </c>
      <c r="C1071" s="5" t="s">
        <v>12</v>
      </c>
      <c r="D1071" s="5" t="s">
        <v>12</v>
      </c>
      <c r="E1071" s="5" t="s">
        <v>12</v>
      </c>
      <c r="F1071" s="5" t="s">
        <v>12</v>
      </c>
      <c r="G1071" s="5" t="s">
        <v>12</v>
      </c>
      <c r="H1071" s="5" t="s">
        <v>12</v>
      </c>
      <c r="I1071" s="5" t="s">
        <v>12</v>
      </c>
      <c r="J1071" s="5" t="s">
        <v>12</v>
      </c>
      <c r="K1071" s="5" t="s">
        <v>13</v>
      </c>
    </row>
    <row r="1072" spans="1:11" ht="18.75" x14ac:dyDescent="0.3">
      <c r="A1072" s="6" t="s">
        <v>14</v>
      </c>
      <c r="B1072" s="6">
        <f>4000+16200+15100</f>
        <v>35300</v>
      </c>
      <c r="C1072" s="6">
        <v>0</v>
      </c>
      <c r="D1072" s="6">
        <f>750+13800+15300</f>
        <v>29850</v>
      </c>
      <c r="E1072" s="6"/>
      <c r="F1072" s="7">
        <f>8400+15000</f>
        <v>23400</v>
      </c>
      <c r="G1072" s="6">
        <v>0</v>
      </c>
      <c r="H1072" s="6">
        <v>0</v>
      </c>
      <c r="I1072" s="6">
        <v>0</v>
      </c>
      <c r="J1072" s="6">
        <f>SUM(B1072:I1072)</f>
        <v>88550</v>
      </c>
      <c r="K1072" s="8">
        <f>J1072*592.53</f>
        <v>52468531.5</v>
      </c>
    </row>
    <row r="1073" spans="1:11" ht="18.75" x14ac:dyDescent="0.3">
      <c r="A1073" s="6" t="s">
        <v>14</v>
      </c>
      <c r="B1073" s="6">
        <f>B1072-B1070-C1070+112-66+23+15+27+36-20+33+39+38+45+17</f>
        <v>350.35000000010405</v>
      </c>
      <c r="C1073" s="6">
        <v>0</v>
      </c>
      <c r="D1073" s="6">
        <f>D1072-D1070-E1070+43+75+115+20+30+26+2-2+47+99+20+10+25+10</f>
        <v>2899.7299999999814</v>
      </c>
      <c r="E1073" s="6"/>
      <c r="F1073" s="7">
        <f>F1072-F1070-G1070-H1070-I1070+26-246+52+65-121+3+19</f>
        <v>5999.690000000046</v>
      </c>
      <c r="G1073" s="6">
        <v>0</v>
      </c>
      <c r="H1073" s="6">
        <f>H1072</f>
        <v>0</v>
      </c>
      <c r="I1073" s="6">
        <v>0</v>
      </c>
      <c r="J1073" s="6">
        <f>SUM(B1073:I1073)</f>
        <v>9249.7700000001314</v>
      </c>
      <c r="K1073" s="8">
        <f>J1073*603.54</f>
        <v>5582606.1858000793</v>
      </c>
    </row>
    <row r="1074" spans="1:11" ht="18.75" x14ac:dyDescent="0.3">
      <c r="A1074" s="6"/>
      <c r="B1074" s="6">
        <v>0</v>
      </c>
      <c r="C1074" s="6">
        <v>0</v>
      </c>
      <c r="D1074" s="6">
        <v>0</v>
      </c>
      <c r="E1074" s="6"/>
      <c r="F1074" s="6">
        <v>0</v>
      </c>
      <c r="G1074" s="6">
        <v>0</v>
      </c>
      <c r="H1074" s="6"/>
      <c r="I1074" s="6">
        <v>0</v>
      </c>
      <c r="J1074" s="6">
        <v>0</v>
      </c>
      <c r="K1074" s="5" t="s">
        <v>15</v>
      </c>
    </row>
    <row r="1075" spans="1:11" ht="18.75" x14ac:dyDescent="0.3">
      <c r="A1075" s="6" t="s">
        <v>16</v>
      </c>
      <c r="B1075" s="6">
        <f>B1073+B1070+C1070+D1070+E1070-B1072</f>
        <v>27769.270000000019</v>
      </c>
      <c r="C1075" s="6">
        <v>0</v>
      </c>
      <c r="D1075" s="6">
        <v>0</v>
      </c>
      <c r="E1075" s="9">
        <f>D1075/10</f>
        <v>0</v>
      </c>
      <c r="F1075" s="6">
        <f>F1073+F1070+G1070+H1070+I1070-F1072</f>
        <v>-202</v>
      </c>
      <c r="G1075" s="6">
        <v>0</v>
      </c>
      <c r="H1075" s="6">
        <v>0</v>
      </c>
      <c r="I1075" s="6">
        <v>0</v>
      </c>
      <c r="J1075" s="6">
        <f>SUM(B1075:I1075)</f>
        <v>27567.270000000019</v>
      </c>
      <c r="K1075" s="6"/>
    </row>
    <row r="1076" spans="1:11" ht="18.75" x14ac:dyDescent="0.3">
      <c r="A1076" s="6">
        <v>0</v>
      </c>
      <c r="B1076" s="6">
        <v>0</v>
      </c>
      <c r="C1076" s="6">
        <v>0</v>
      </c>
      <c r="D1076" s="6">
        <v>0</v>
      </c>
      <c r="E1076" s="6"/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</row>
    <row r="1077" spans="1:11" ht="18.75" x14ac:dyDescent="0.3">
      <c r="A1077" s="6">
        <v>0</v>
      </c>
      <c r="B1077" s="6">
        <f>B1072-B1073</f>
        <v>34949.649999999892</v>
      </c>
      <c r="C1077" s="6" t="s">
        <v>17</v>
      </c>
      <c r="D1077" s="6">
        <v>0</v>
      </c>
      <c r="E1077" s="6">
        <v>0</v>
      </c>
      <c r="F1077" s="6">
        <f>F1072-F1073</f>
        <v>17400.309999999954</v>
      </c>
      <c r="G1077" s="6">
        <v>0</v>
      </c>
      <c r="H1077" s="6">
        <v>0</v>
      </c>
      <c r="I1077" s="6">
        <f>I1072-I1073</f>
        <v>0</v>
      </c>
      <c r="J1077" s="6">
        <f>J1072-J1073</f>
        <v>79300.229999999865</v>
      </c>
      <c r="K1077" s="10">
        <v>0</v>
      </c>
    </row>
    <row r="1078" spans="1:11" ht="18.75" x14ac:dyDescent="0.3">
      <c r="A1078" s="6">
        <v>0</v>
      </c>
      <c r="B1078" s="6">
        <f>B1077/20*0.2</f>
        <v>349.49649999999895</v>
      </c>
      <c r="C1078" s="6">
        <v>0</v>
      </c>
      <c r="D1078" s="6">
        <v>0</v>
      </c>
      <c r="E1078" s="6"/>
      <c r="F1078" s="6">
        <f>F1077/20*0.2</f>
        <v>174.00309999999956</v>
      </c>
      <c r="G1078" s="6">
        <v>0</v>
      </c>
      <c r="H1078" s="6">
        <v>0</v>
      </c>
      <c r="I1078" s="6">
        <f>I1077/20*0.6</f>
        <v>0</v>
      </c>
      <c r="J1078" s="6">
        <f>J1077/20*0.6</f>
        <v>2379.0068999999958</v>
      </c>
      <c r="K1078" s="11">
        <v>0</v>
      </c>
    </row>
    <row r="1079" spans="1:11" ht="18.75" x14ac:dyDescent="0.3">
      <c r="A1079" s="6">
        <v>0</v>
      </c>
      <c r="B1079" s="6">
        <f>B1075-B1078</f>
        <v>27419.773500000021</v>
      </c>
      <c r="C1079" s="6">
        <v>0</v>
      </c>
      <c r="D1079" s="6">
        <v>0</v>
      </c>
      <c r="E1079" s="6">
        <v>0</v>
      </c>
      <c r="F1079" s="6">
        <f>F1075-F1078</f>
        <v>-376.00309999999956</v>
      </c>
      <c r="G1079" s="6">
        <v>0</v>
      </c>
      <c r="H1079" s="6">
        <v>0</v>
      </c>
      <c r="I1079" s="6">
        <f>I1075-I1078</f>
        <v>0</v>
      </c>
      <c r="J1079" s="6">
        <f>J1075-J1078</f>
        <v>25188.263100000022</v>
      </c>
      <c r="K1079" s="6" t="s">
        <v>18</v>
      </c>
    </row>
    <row r="1080" spans="1:11" ht="18.75" x14ac:dyDescent="0.3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</row>
    <row r="1081" spans="1:11" ht="18.75" x14ac:dyDescent="0.3">
      <c r="A1081" s="6">
        <v>0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10">
        <v>0</v>
      </c>
      <c r="I1081" s="6">
        <f>I1076-I1079</f>
        <v>0</v>
      </c>
      <c r="J1081" s="6">
        <v>0</v>
      </c>
      <c r="K1081" s="6"/>
    </row>
    <row r="1082" spans="1:11" ht="18.75" x14ac:dyDescent="0.3">
      <c r="A1082" s="6"/>
      <c r="B1082" s="6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f>I1077-I1081</f>
        <v>0</v>
      </c>
      <c r="J1082" s="6">
        <v>0</v>
      </c>
      <c r="K1082" s="10">
        <v>0</v>
      </c>
    </row>
    <row r="1083" spans="1:11" ht="18.75" x14ac:dyDescent="0.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</row>
    <row r="1084" spans="1:11" ht="18.75" x14ac:dyDescent="0.3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</row>
    <row r="1085" spans="1:11" ht="18.75" x14ac:dyDescent="0.3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</row>
    <row r="1086" spans="1:11" ht="18.75" x14ac:dyDescent="0.3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</row>
    <row r="1087" spans="1:11" ht="18.75" x14ac:dyDescent="0.3">
      <c r="A1087" s="6"/>
      <c r="B1087" s="6"/>
      <c r="C1087" s="6"/>
      <c r="D1087" s="6"/>
      <c r="E1087" s="6"/>
      <c r="F1087" s="6"/>
      <c r="G1087" s="6"/>
      <c r="H1087" s="6"/>
      <c r="I1087" s="6"/>
      <c r="J1087" s="9"/>
      <c r="K1087" s="6"/>
    </row>
    <row r="1088" spans="1:11" ht="18.75" x14ac:dyDescent="0.3">
      <c r="A1088" s="6"/>
      <c r="B1088" s="12"/>
      <c r="C1088" s="12"/>
      <c r="D1088" s="12"/>
      <c r="E1088" s="12"/>
      <c r="F1088" s="12"/>
      <c r="G1088" s="12"/>
      <c r="H1088" s="12"/>
      <c r="I1088" s="12"/>
      <c r="J1088" s="9"/>
      <c r="K1088" s="6"/>
    </row>
    <row r="1089" spans="1:11" ht="18.75" x14ac:dyDescent="0.3">
      <c r="A1089" s="6"/>
      <c r="B1089" s="6"/>
      <c r="C1089" s="6"/>
      <c r="D1089" s="6"/>
      <c r="E1089" s="6"/>
      <c r="F1089" s="6"/>
      <c r="G1089" s="6"/>
      <c r="H1089" s="6"/>
      <c r="I1089" s="6"/>
      <c r="J1089" s="9"/>
      <c r="K1089" s="6"/>
    </row>
    <row r="1090" spans="1:11" ht="18.75" x14ac:dyDescent="0.3">
      <c r="A1090" s="6"/>
      <c r="B1090" s="6"/>
      <c r="C1090" s="6"/>
      <c r="D1090" s="6"/>
      <c r="E1090" s="6"/>
      <c r="F1090" s="6"/>
      <c r="G1090" s="6"/>
      <c r="H1090" s="6"/>
      <c r="I1090" s="6"/>
      <c r="J1090" s="9"/>
      <c r="K1090" s="6"/>
    </row>
    <row r="1091" spans="1:11" ht="18.75" x14ac:dyDescent="0.3">
      <c r="A1091" s="6"/>
      <c r="B1091" s="6"/>
      <c r="C1091" s="6"/>
      <c r="D1091" s="6"/>
      <c r="E1091" s="6"/>
      <c r="F1091" s="6"/>
      <c r="G1091" s="6"/>
      <c r="H1091" s="6"/>
      <c r="I1091" s="6"/>
      <c r="J1091" s="9"/>
      <c r="K1091" s="6"/>
    </row>
    <row r="1092" spans="1:11" ht="18.75" x14ac:dyDescent="0.3">
      <c r="A1092" s="6"/>
      <c r="B1092" s="12"/>
      <c r="C1092" s="12"/>
      <c r="D1092" s="6"/>
      <c r="E1092" s="12"/>
      <c r="F1092" s="12"/>
      <c r="G1092" s="12"/>
      <c r="H1092" s="6"/>
      <c r="I1092" s="6"/>
      <c r="J1092" s="9"/>
      <c r="K1092" s="6"/>
    </row>
    <row r="1093" spans="1:11" ht="18.75" x14ac:dyDescent="0.3">
      <c r="A1093" s="6"/>
      <c r="B1093" s="12"/>
      <c r="C1093" s="12"/>
      <c r="D1093" s="12"/>
      <c r="E1093" s="12"/>
      <c r="F1093" s="12"/>
      <c r="G1093" s="6"/>
      <c r="H1093" s="6"/>
      <c r="I1093" s="6"/>
      <c r="J1093" s="9"/>
      <c r="K1093" s="6"/>
    </row>
    <row r="1094" spans="1:11" ht="18.75" x14ac:dyDescent="0.3">
      <c r="A1094" s="12"/>
      <c r="B1094" s="12"/>
      <c r="C1094" s="12"/>
      <c r="D1094" s="6"/>
      <c r="E1094" s="6"/>
      <c r="F1094" s="6"/>
      <c r="G1094" s="6"/>
      <c r="H1094" s="6"/>
      <c r="I1094" s="6"/>
      <c r="J1094" s="9"/>
      <c r="K1094" s="6"/>
    </row>
    <row r="1095" spans="1:11" ht="18.75" x14ac:dyDescent="0.3">
      <c r="A1095" s="12"/>
      <c r="B1095" s="12"/>
      <c r="C1095" s="12"/>
      <c r="D1095" s="6"/>
      <c r="E1095" s="6"/>
      <c r="F1095" s="6"/>
      <c r="G1095" s="6"/>
      <c r="H1095" s="6"/>
      <c r="I1095" s="6"/>
      <c r="J1095" s="6"/>
      <c r="K1095" s="6"/>
    </row>
    <row r="1096" spans="1:11" ht="18.75" x14ac:dyDescent="0.3">
      <c r="A1096" s="12"/>
      <c r="B1096" s="12"/>
      <c r="C1096" s="6"/>
      <c r="D1096" s="6"/>
      <c r="E1096" s="6"/>
      <c r="F1096" s="6"/>
      <c r="G1096" s="6"/>
      <c r="H1096" s="6"/>
      <c r="I1096" s="6"/>
      <c r="J1096" s="6"/>
      <c r="K1096" s="6"/>
    </row>
    <row r="1097" spans="1:11" ht="18.75" x14ac:dyDescent="0.3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</row>
    <row r="1098" spans="1:11" ht="18.75" x14ac:dyDescent="0.3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</row>
    <row r="1099" spans="1:11" ht="18.75" x14ac:dyDescent="0.3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</row>
    <row r="1100" spans="1:11" ht="18.75" x14ac:dyDescent="0.3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</row>
    <row r="1101" spans="1:11" ht="18.75" x14ac:dyDescent="0.3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</row>
    <row r="1102" spans="1:11" ht="18.75" x14ac:dyDescent="0.3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</row>
    <row r="1103" spans="1:11" ht="18.75" x14ac:dyDescent="0.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</row>
    <row r="1104" spans="1:11" ht="18.75" x14ac:dyDescent="0.3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</row>
    <row r="1105" spans="1:11" ht="18.75" x14ac:dyDescent="0.3">
      <c r="A1105" s="12"/>
      <c r="B1105" s="12"/>
      <c r="C1105" s="6"/>
      <c r="D1105" s="6"/>
      <c r="E1105" s="6"/>
      <c r="F1105" s="6"/>
      <c r="G1105" s="6"/>
      <c r="H1105" s="6"/>
      <c r="I1105" s="6"/>
      <c r="J1105" s="6"/>
      <c r="K1105" s="6"/>
    </row>
    <row r="1106" spans="1:11" ht="18.75" x14ac:dyDescent="0.3">
      <c r="A1106" s="12"/>
      <c r="B1106" s="12"/>
      <c r="C1106" s="6"/>
      <c r="D1106" s="6"/>
      <c r="E1106" s="6"/>
      <c r="F1106" s="6"/>
      <c r="G1106" s="6"/>
      <c r="H1106" s="6"/>
      <c r="I1106" s="6"/>
      <c r="J1106" s="6"/>
      <c r="K1106" s="6"/>
    </row>
    <row r="1107" spans="1:11" ht="18.75" x14ac:dyDescent="0.3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</row>
    <row r="1108" spans="1:11" ht="18.75" x14ac:dyDescent="0.3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</row>
    <row r="1109" spans="1:11" ht="18.75" x14ac:dyDescent="0.3">
      <c r="A1109" s="6"/>
      <c r="B1109" s="6"/>
      <c r="C1109" s="12"/>
      <c r="D1109" s="12"/>
      <c r="E1109" s="6"/>
      <c r="F1109" s="6"/>
      <c r="G1109" s="6"/>
      <c r="H1109" s="6"/>
      <c r="I1109" s="6"/>
      <c r="J1109" s="6"/>
      <c r="K1109" s="6"/>
    </row>
    <row r="1110" spans="1:11" ht="18.75" x14ac:dyDescent="0.3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</row>
    <row r="1111" spans="1:11" ht="18.75" x14ac:dyDescent="0.3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</row>
    <row r="1112" spans="1:11" ht="18.75" x14ac:dyDescent="0.3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</row>
    <row r="1113" spans="1:11" ht="18.75" x14ac:dyDescent="0.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</row>
    <row r="1114" spans="1:11" ht="18.75" x14ac:dyDescent="0.3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</row>
    <row r="1115" spans="1:11" ht="18.75" x14ac:dyDescent="0.3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</row>
    <row r="1116" spans="1:11" ht="18.75" x14ac:dyDescent="0.3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</row>
    <row r="1117" spans="1:11" ht="18.75" x14ac:dyDescent="0.3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</row>
    <row r="1118" spans="1:11" ht="18.75" x14ac:dyDescent="0.3">
      <c r="A1118" s="6"/>
      <c r="B1118" s="12"/>
      <c r="C1118" s="12"/>
      <c r="D1118" s="12"/>
      <c r="E1118" s="12"/>
      <c r="F1118" s="12"/>
      <c r="G1118" s="6"/>
      <c r="H1118" s="12"/>
      <c r="I1118" s="6"/>
      <c r="J1118" s="6"/>
      <c r="K1118" s="6"/>
    </row>
    <row r="1119" spans="1:11" ht="18.75" x14ac:dyDescent="0.3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</row>
    <row r="1120" spans="1:11" ht="18.75" x14ac:dyDescent="0.3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</row>
    <row r="1121" spans="1:11" ht="18.75" x14ac:dyDescent="0.3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</row>
    <row r="1122" spans="1:11" ht="18.75" x14ac:dyDescent="0.3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</row>
    <row r="1123" spans="1:11" ht="18.75" x14ac:dyDescent="0.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</row>
    <row r="1124" spans="1:11" ht="18.75" x14ac:dyDescent="0.3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</row>
    <row r="1125" spans="1:11" ht="18.75" x14ac:dyDescent="0.3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</row>
    <row r="1126" spans="1:11" ht="18.75" x14ac:dyDescent="0.3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</row>
    <row r="1127" spans="1:11" ht="18.75" x14ac:dyDescent="0.3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</row>
    <row r="1128" spans="1:11" ht="18.75" x14ac:dyDescent="0.3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</row>
    <row r="1129" spans="1:11" ht="18.75" x14ac:dyDescent="0.3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</row>
    <row r="1130" spans="1:11" ht="18.75" x14ac:dyDescent="0.3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</row>
    <row r="1131" spans="1:11" ht="18.75" x14ac:dyDescent="0.3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</row>
    <row r="1132" spans="1:11" ht="18.75" x14ac:dyDescent="0.3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 spans="1:11" ht="18.75" x14ac:dyDescent="0.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</row>
    <row r="1134" spans="1:11" ht="18.75" x14ac:dyDescent="0.3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</row>
    <row r="1135" spans="1:11" ht="18.75" x14ac:dyDescent="0.3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</row>
    <row r="1136" spans="1:11" ht="18.75" x14ac:dyDescent="0.3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</row>
    <row r="1137" spans="1:11" ht="18.75" x14ac:dyDescent="0.3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</row>
    <row r="1138" spans="1:11" ht="18.75" x14ac:dyDescent="0.3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</row>
    <row r="1139" spans="1:11" ht="18.75" x14ac:dyDescent="0.3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</row>
    <row r="1140" spans="1:11" ht="18.75" x14ac:dyDescent="0.3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</row>
    <row r="1141" spans="1:11" ht="18.75" x14ac:dyDescent="0.3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</row>
    <row r="1142" spans="1:11" ht="18.75" x14ac:dyDescent="0.3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</row>
    <row r="1143" spans="1:11" ht="18.75" x14ac:dyDescent="0.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</row>
    <row r="1144" spans="1:11" ht="18.75" x14ac:dyDescent="0.3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</row>
    <row r="1145" spans="1:11" ht="18.75" x14ac:dyDescent="0.3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</row>
    <row r="1146" spans="1:11" ht="18.75" x14ac:dyDescent="0.3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</row>
    <row r="1147" spans="1:11" ht="18.75" x14ac:dyDescent="0.3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</row>
    <row r="1148" spans="1:11" ht="18.75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ht="18.75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ht="18.75" x14ac:dyDescent="0.3">
      <c r="A1150" s="6"/>
      <c r="B1150" s="7"/>
      <c r="C1150" s="1"/>
      <c r="D1150" s="1"/>
      <c r="E1150" s="1"/>
      <c r="F1150" s="1"/>
      <c r="G1150" s="1"/>
      <c r="H1150" s="1"/>
      <c r="I1150" s="1"/>
      <c r="J1150" s="6"/>
      <c r="K1150" s="1"/>
    </row>
    <row r="1151" spans="1:11" ht="18.75" x14ac:dyDescent="0.3">
      <c r="A1151" s="6"/>
      <c r="B1151" s="7"/>
      <c r="C1151" s="1"/>
      <c r="D1151" s="1"/>
      <c r="E1151" s="1"/>
      <c r="F1151" s="1"/>
      <c r="G1151" s="1"/>
      <c r="H1151" s="1"/>
      <c r="I1151" s="1"/>
      <c r="J1151" s="6"/>
      <c r="K1151" s="1"/>
    </row>
    <row r="1152" spans="1:11" ht="18.75" x14ac:dyDescent="0.3">
      <c r="A1152" s="6"/>
      <c r="B1152" s="7"/>
      <c r="C1152" s="1"/>
      <c r="D1152" s="1"/>
      <c r="E1152" s="1"/>
      <c r="F1152" s="1"/>
      <c r="G1152" s="1"/>
      <c r="H1152" s="1"/>
      <c r="I1152" s="1"/>
      <c r="J1152" s="6"/>
      <c r="K1152" s="1"/>
    </row>
    <row r="1153" spans="1:11" ht="18.75" x14ac:dyDescent="0.3">
      <c r="A1153" s="6"/>
      <c r="B1153" s="7"/>
      <c r="C1153" s="1"/>
      <c r="D1153" s="1"/>
      <c r="E1153" s="1"/>
      <c r="F1153" s="1"/>
      <c r="G1153" s="1"/>
      <c r="H1153" s="1"/>
      <c r="I1153" s="1"/>
      <c r="J1153" s="6"/>
      <c r="K1153" s="1"/>
    </row>
    <row r="1154" spans="1:11" ht="18.75" x14ac:dyDescent="0.3">
      <c r="A1154" s="6"/>
      <c r="B1154" s="7"/>
      <c r="C1154" s="1"/>
      <c r="D1154" s="1"/>
      <c r="E1154" s="1"/>
      <c r="F1154" s="1"/>
      <c r="G1154" s="1"/>
      <c r="H1154" s="1"/>
      <c r="I1154" s="1"/>
      <c r="J1154" s="6"/>
      <c r="K1154" s="1"/>
    </row>
    <row r="1155" spans="1:11" ht="18.75" x14ac:dyDescent="0.3">
      <c r="A1155" s="6"/>
      <c r="B1155" s="7"/>
      <c r="C1155" s="1"/>
      <c r="D1155" s="1"/>
      <c r="E1155" s="1"/>
      <c r="F1155" s="1"/>
      <c r="G1155" s="1"/>
      <c r="H1155" s="1"/>
      <c r="I1155" s="1"/>
      <c r="J1155" s="6"/>
      <c r="K1155" s="1"/>
    </row>
    <row r="1156" spans="1:11" ht="18.75" x14ac:dyDescent="0.3">
      <c r="A1156" s="6"/>
      <c r="B1156" s="7"/>
      <c r="C1156" s="1"/>
      <c r="D1156" s="1"/>
      <c r="E1156" s="1"/>
      <c r="F1156" s="1"/>
      <c r="G1156" s="1"/>
      <c r="H1156" s="1"/>
      <c r="I1156" s="1"/>
      <c r="J1156" s="6"/>
      <c r="K1156" s="1"/>
    </row>
    <row r="1157" spans="1:11" ht="18.75" x14ac:dyDescent="0.3">
      <c r="A1157" s="6"/>
      <c r="B1157" s="7"/>
      <c r="C1157" s="1"/>
      <c r="D1157" s="1"/>
      <c r="E1157" s="1"/>
      <c r="F1157" s="1"/>
      <c r="G1157" s="1"/>
      <c r="H1157" s="1"/>
      <c r="I1157" s="1"/>
      <c r="J1157" s="6"/>
      <c r="K1157" s="1"/>
    </row>
    <row r="1158" spans="1:11" ht="18.75" x14ac:dyDescent="0.3">
      <c r="A1158" s="6"/>
      <c r="B1158" s="7"/>
      <c r="C1158" s="1"/>
      <c r="D1158" s="1"/>
      <c r="E1158" s="1"/>
      <c r="F1158" s="1"/>
      <c r="G1158" s="1"/>
      <c r="H1158" s="1"/>
      <c r="I1158" s="1"/>
      <c r="J1158" s="6"/>
      <c r="K1158" s="1"/>
    </row>
    <row r="1159" spans="1:11" ht="18.75" x14ac:dyDescent="0.3">
      <c r="A1159" s="6"/>
      <c r="B1159" s="7"/>
      <c r="C1159" s="1"/>
      <c r="D1159" s="1"/>
      <c r="E1159" s="1"/>
      <c r="F1159" s="1"/>
      <c r="G1159" s="1"/>
      <c r="H1159" s="1"/>
      <c r="I1159" s="1"/>
      <c r="J1159" s="6"/>
      <c r="K1159" s="1"/>
    </row>
    <row r="1160" spans="1:11" ht="18.75" x14ac:dyDescent="0.3">
      <c r="A1160" s="6"/>
      <c r="B1160" s="7"/>
      <c r="C1160" s="1"/>
      <c r="D1160" s="1"/>
      <c r="E1160" s="1"/>
      <c r="F1160" s="1"/>
      <c r="G1160" s="1"/>
      <c r="H1160" s="1"/>
      <c r="I1160" s="1"/>
      <c r="J1160" s="6"/>
      <c r="K1160" s="1"/>
    </row>
    <row r="1161" spans="1:11" ht="18.75" x14ac:dyDescent="0.3">
      <c r="A1161" s="6"/>
      <c r="B1161" s="7"/>
      <c r="C1161" s="1"/>
      <c r="D1161" s="1"/>
      <c r="E1161" s="1"/>
      <c r="F1161" s="1"/>
      <c r="G1161" s="1"/>
      <c r="H1161" s="1"/>
      <c r="I1161" s="1"/>
      <c r="J1161" s="6"/>
      <c r="K1161" s="1"/>
    </row>
    <row r="1162" spans="1:11" ht="18.75" x14ac:dyDescent="0.3">
      <c r="A1162" s="6"/>
      <c r="B1162" s="7"/>
      <c r="C1162" s="1"/>
      <c r="D1162" s="1"/>
      <c r="E1162" s="1"/>
      <c r="F1162" s="1"/>
      <c r="G1162" s="1"/>
      <c r="H1162" s="1"/>
      <c r="I1162" s="1"/>
      <c r="J1162" s="6"/>
      <c r="K1162" s="1"/>
    </row>
    <row r="1163" spans="1:11" ht="18.75" x14ac:dyDescent="0.3">
      <c r="A1163" s="6"/>
      <c r="B1163" s="7"/>
      <c r="C1163" s="1"/>
      <c r="D1163" s="1"/>
      <c r="E1163" s="1"/>
      <c r="F1163" s="1"/>
      <c r="G1163" s="1"/>
      <c r="H1163" s="1"/>
      <c r="I1163" s="1"/>
      <c r="J1163" s="6"/>
      <c r="K1163" s="1"/>
    </row>
    <row r="1164" spans="1:11" ht="18.75" x14ac:dyDescent="0.3">
      <c r="A1164" s="6"/>
      <c r="B1164" s="7"/>
      <c r="C1164" s="1"/>
      <c r="D1164" s="1"/>
      <c r="E1164" s="1"/>
      <c r="F1164" s="1"/>
      <c r="G1164" s="1"/>
      <c r="H1164" s="1"/>
      <c r="I1164" s="1"/>
      <c r="J1164" s="6"/>
      <c r="K1164" s="1"/>
    </row>
    <row r="1165" spans="1:11" ht="18.75" x14ac:dyDescent="0.3">
      <c r="A1165" s="6"/>
      <c r="B1165" s="7"/>
      <c r="C1165" s="1"/>
      <c r="D1165" s="1"/>
      <c r="E1165" s="1"/>
      <c r="F1165" s="1"/>
      <c r="G1165" s="1"/>
      <c r="H1165" s="1"/>
      <c r="I1165" s="1"/>
      <c r="J1165" s="6"/>
      <c r="K1165" s="1"/>
    </row>
    <row r="1166" spans="1:11" ht="18.75" x14ac:dyDescent="0.3">
      <c r="A1166" s="6"/>
      <c r="B1166" s="7"/>
      <c r="C1166" s="1"/>
      <c r="D1166" s="1"/>
      <c r="E1166" s="1"/>
      <c r="F1166" s="1"/>
      <c r="G1166" s="1"/>
      <c r="H1166" s="1"/>
      <c r="I1166" s="1"/>
      <c r="J1166" s="6"/>
      <c r="K1166" s="1"/>
    </row>
    <row r="1167" spans="1:11" ht="18.75" x14ac:dyDescent="0.3">
      <c r="A1167" s="6"/>
      <c r="B1167" s="7"/>
      <c r="C1167" s="1"/>
      <c r="D1167" s="1"/>
      <c r="E1167" s="1"/>
      <c r="F1167" s="1"/>
      <c r="G1167" s="1"/>
      <c r="H1167" s="1"/>
      <c r="I1167" s="1"/>
      <c r="J1167" s="6"/>
      <c r="K1167" s="1"/>
    </row>
    <row r="1168" spans="1:11" ht="18.75" x14ac:dyDescent="0.3">
      <c r="A1168" s="6"/>
      <c r="B1168" s="7"/>
      <c r="C1168" s="1"/>
      <c r="D1168" s="1"/>
      <c r="E1168" s="1"/>
      <c r="F1168" s="1"/>
      <c r="G1168" s="1"/>
      <c r="H1168" s="1"/>
      <c r="I1168" s="1"/>
      <c r="J1168" s="6"/>
      <c r="K1168" s="1"/>
    </row>
    <row r="1169" spans="1:11" ht="18.75" x14ac:dyDescent="0.3">
      <c r="A1169" s="6"/>
      <c r="B1169" s="7"/>
      <c r="C1169" s="1"/>
      <c r="D1169" s="1"/>
      <c r="E1169" s="1"/>
      <c r="F1169" s="1"/>
      <c r="G1169" s="1"/>
      <c r="H1169" s="1"/>
      <c r="I1169" s="1"/>
      <c r="J1169" s="6"/>
      <c r="K1169" s="1"/>
    </row>
    <row r="1170" spans="1:11" ht="18.75" x14ac:dyDescent="0.3">
      <c r="A1170" s="6"/>
      <c r="B1170" s="7"/>
      <c r="C1170" s="1"/>
      <c r="D1170" s="1"/>
      <c r="E1170" s="1"/>
      <c r="F1170" s="1"/>
      <c r="G1170" s="1"/>
      <c r="H1170" s="1"/>
      <c r="I1170" s="1"/>
      <c r="J1170" s="6"/>
      <c r="K1170" s="1"/>
    </row>
    <row r="1171" spans="1:11" ht="18.75" x14ac:dyDescent="0.3">
      <c r="A1171" s="6"/>
      <c r="B1171" s="7"/>
      <c r="C1171" s="1"/>
      <c r="D1171" s="1"/>
      <c r="E1171" s="1"/>
      <c r="F1171" s="1"/>
      <c r="G1171" s="1"/>
      <c r="H1171" s="1"/>
      <c r="I1171" s="1"/>
      <c r="J1171" s="6"/>
      <c r="K1171" s="1"/>
    </row>
    <row r="1172" spans="1:11" ht="18.75" x14ac:dyDescent="0.3">
      <c r="A1172" s="6"/>
      <c r="B1172" s="7"/>
      <c r="C1172" s="1"/>
      <c r="D1172" s="1"/>
      <c r="E1172" s="1"/>
      <c r="F1172" s="1"/>
      <c r="G1172" s="1"/>
      <c r="H1172" s="1"/>
      <c r="I1172" s="1"/>
      <c r="J1172" s="6"/>
      <c r="K1172" s="1"/>
    </row>
    <row r="1173" spans="1:11" ht="18.75" x14ac:dyDescent="0.3">
      <c r="A1173" s="6"/>
      <c r="B1173" s="7"/>
      <c r="C1173" s="1"/>
      <c r="D1173" s="1"/>
      <c r="E1173" s="1"/>
      <c r="F1173" s="1"/>
      <c r="G1173" s="1"/>
      <c r="H1173" s="1"/>
      <c r="I1173" s="1"/>
      <c r="J1173" s="6"/>
      <c r="K1173" s="1"/>
    </row>
    <row r="1174" spans="1:11" ht="18.75" x14ac:dyDescent="0.3">
      <c r="A1174" s="6"/>
      <c r="B1174" s="7"/>
      <c r="C1174" s="1"/>
      <c r="D1174" s="1"/>
      <c r="E1174" s="1"/>
      <c r="F1174" s="1"/>
      <c r="G1174" s="1"/>
      <c r="H1174" s="1"/>
      <c r="I1174" s="1"/>
      <c r="J1174" s="6"/>
      <c r="K1174" s="1"/>
    </row>
    <row r="1175" spans="1:11" ht="18.75" x14ac:dyDescent="0.3">
      <c r="A1175" s="6"/>
      <c r="B1175" s="7"/>
      <c r="C1175" s="1"/>
      <c r="D1175" s="1"/>
      <c r="E1175" s="1"/>
      <c r="F1175" s="1"/>
      <c r="G1175" s="1"/>
      <c r="H1175" s="1"/>
      <c r="I1175" s="1"/>
      <c r="J1175" s="6"/>
      <c r="K1175" s="1"/>
    </row>
    <row r="1176" spans="1:11" ht="18.75" x14ac:dyDescent="0.3">
      <c r="A1176" s="6"/>
      <c r="B1176" s="7"/>
      <c r="C1176" s="1"/>
      <c r="D1176" s="1"/>
      <c r="E1176" s="1"/>
      <c r="F1176" s="1"/>
      <c r="G1176" s="1"/>
      <c r="H1176" s="1"/>
      <c r="I1176" s="1"/>
      <c r="J1176" s="6"/>
      <c r="K1176" s="1"/>
    </row>
    <row r="1177" spans="1:11" ht="18.75" x14ac:dyDescent="0.3">
      <c r="A1177" s="6"/>
      <c r="B1177" s="7"/>
      <c r="C1177" s="1"/>
      <c r="D1177" s="1"/>
      <c r="E1177" s="1"/>
      <c r="F1177" s="1"/>
      <c r="G1177" s="1"/>
      <c r="H1177" s="1"/>
      <c r="I1177" s="1"/>
      <c r="J1177" s="6"/>
      <c r="K1177" s="1"/>
    </row>
    <row r="1178" spans="1:11" ht="18.75" x14ac:dyDescent="0.3">
      <c r="A1178" s="6"/>
      <c r="B1178" s="7"/>
      <c r="C1178" s="1"/>
      <c r="D1178" s="1"/>
      <c r="E1178" s="1"/>
      <c r="F1178" s="1"/>
      <c r="G1178" s="1"/>
      <c r="H1178" s="1"/>
      <c r="I1178" s="1"/>
      <c r="J1178" s="6"/>
      <c r="K1178" s="1"/>
    </row>
    <row r="1179" spans="1:11" ht="18.75" x14ac:dyDescent="0.3">
      <c r="A1179" s="6"/>
      <c r="B1179" s="7"/>
      <c r="C1179" s="1"/>
      <c r="D1179" s="1"/>
      <c r="E1179" s="1"/>
      <c r="F1179" s="1"/>
      <c r="G1179" s="1"/>
      <c r="H1179" s="1"/>
      <c r="I1179" s="1"/>
      <c r="J1179" s="6"/>
      <c r="K1179" s="1"/>
    </row>
    <row r="1180" spans="1:11" ht="18.75" x14ac:dyDescent="0.3">
      <c r="A1180" s="6"/>
      <c r="B1180" s="7"/>
      <c r="C1180" s="1"/>
      <c r="D1180" s="1"/>
      <c r="E1180" s="1"/>
      <c r="F1180" s="1"/>
      <c r="G1180" s="1"/>
      <c r="H1180" s="1"/>
      <c r="I1180" s="1"/>
      <c r="J1180" s="6"/>
      <c r="K1180" s="1"/>
    </row>
    <row r="1181" spans="1:11" ht="18.75" x14ac:dyDescent="0.3">
      <c r="A1181" s="6"/>
      <c r="B1181" s="7"/>
      <c r="C1181" s="1"/>
      <c r="D1181" s="1"/>
      <c r="E1181" s="1"/>
      <c r="F1181" s="1"/>
      <c r="G1181" s="1"/>
      <c r="H1181" s="1"/>
      <c r="I1181" s="1"/>
      <c r="J1181" s="6"/>
      <c r="K1181" s="1"/>
    </row>
    <row r="1182" spans="1:11" ht="18.75" x14ac:dyDescent="0.3">
      <c r="A1182" s="13" t="s">
        <v>19</v>
      </c>
      <c r="B1182" s="1"/>
      <c r="C1182" s="1"/>
      <c r="D1182" s="1" t="s">
        <v>25</v>
      </c>
      <c r="E1182" s="1"/>
      <c r="F1182" s="1"/>
      <c r="G1182" s="1"/>
      <c r="H1182" s="6"/>
      <c r="I1182" s="6"/>
      <c r="J1182" s="6"/>
      <c r="K1182" s="6"/>
    </row>
    <row r="1183" spans="1:11" ht="18.75" x14ac:dyDescent="0.3">
      <c r="A1183" s="1" t="s">
        <v>18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ht="18.75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 t="s">
        <v>0</v>
      </c>
      <c r="K1184" s="1" t="s">
        <v>20</v>
      </c>
    </row>
    <row r="1185" spans="1:11" ht="18.75" x14ac:dyDescent="0.3">
      <c r="A1185" s="1"/>
      <c r="B1185" s="1" t="s">
        <v>2</v>
      </c>
      <c r="C1185" s="1" t="s">
        <v>3</v>
      </c>
      <c r="D1185" s="1" t="s">
        <v>4</v>
      </c>
      <c r="E1185" s="1" t="s">
        <v>5</v>
      </c>
      <c r="F1185" s="1" t="s">
        <v>6</v>
      </c>
      <c r="G1185" s="1" t="s">
        <v>7</v>
      </c>
      <c r="H1185" s="1" t="s">
        <v>8</v>
      </c>
      <c r="I1185" s="1" t="s">
        <v>9</v>
      </c>
      <c r="J1185" s="1" t="s">
        <v>1</v>
      </c>
      <c r="K1185" s="1" t="s">
        <v>1</v>
      </c>
    </row>
    <row r="1186" spans="1:11" ht="18.75" x14ac:dyDescent="0.3">
      <c r="A1186" s="2">
        <v>45170</v>
      </c>
      <c r="B1186" s="3">
        <f t="shared" ref="B1186:B1199" si="111">733344.15-733344.15</f>
        <v>0</v>
      </c>
      <c r="C1186" s="3">
        <f>22927.2-22927.2</f>
        <v>0</v>
      </c>
      <c r="D1186" s="1">
        <f t="shared" ref="D1186:D1199" si="112">282280.77-282280.77</f>
        <v>0</v>
      </c>
      <c r="E1186" s="3">
        <f>398488.26-397719.7</f>
        <v>768.55999999999767</v>
      </c>
      <c r="F1186" s="1">
        <f>33735.19-33735.19</f>
        <v>0</v>
      </c>
      <c r="G1186" s="1">
        <f>600582.09-598816.22</f>
        <v>1765.8699999999953</v>
      </c>
      <c r="H1186" s="1">
        <f t="shared" ref="H1186:H1199" si="113">1081662-1081662</f>
        <v>0</v>
      </c>
      <c r="I1186" s="1"/>
      <c r="J1186" s="3">
        <f t="shared" ref="J1186" si="114">SUM(B1186:I1186)</f>
        <v>2534.429999999993</v>
      </c>
      <c r="K1186" s="4">
        <f>J1186*615</f>
        <v>1558674.4499999958</v>
      </c>
    </row>
    <row r="1187" spans="1:11" ht="18.75" x14ac:dyDescent="0.3">
      <c r="A1187" s="2">
        <v>45171</v>
      </c>
      <c r="B1187" s="3">
        <f t="shared" si="111"/>
        <v>0</v>
      </c>
      <c r="C1187" s="3">
        <f>22927.2-22927.2</f>
        <v>0</v>
      </c>
      <c r="D1187" s="1">
        <f t="shared" si="112"/>
        <v>0</v>
      </c>
      <c r="E1187" s="3">
        <f>400472.27-398488.26</f>
        <v>1984.0100000000093</v>
      </c>
      <c r="F1187" s="1">
        <f>33735.19-33735.19</f>
        <v>0</v>
      </c>
      <c r="G1187" s="1">
        <f>601094.64-600582.09</f>
        <v>512.55000000004657</v>
      </c>
      <c r="H1187" s="1">
        <f t="shared" si="113"/>
        <v>0</v>
      </c>
      <c r="I1187" s="1"/>
      <c r="J1187" s="3">
        <f t="shared" ref="J1187:J1199" si="115">SUM(B1187:I1187)</f>
        <v>2496.5600000000559</v>
      </c>
      <c r="K1187" s="4">
        <f t="shared" ref="K1187:K1199" si="116">J1187*615</f>
        <v>1535384.4000000344</v>
      </c>
    </row>
    <row r="1188" spans="1:11" ht="18.75" x14ac:dyDescent="0.3">
      <c r="A1188" s="2">
        <v>45172</v>
      </c>
      <c r="B1188" s="3">
        <f t="shared" si="111"/>
        <v>0</v>
      </c>
      <c r="C1188" s="3">
        <f>22927.2-22927.2</f>
        <v>0</v>
      </c>
      <c r="D1188" s="1">
        <f t="shared" si="112"/>
        <v>0</v>
      </c>
      <c r="E1188" s="3">
        <f>400472.27-400472.27</f>
        <v>0</v>
      </c>
      <c r="F1188" s="1">
        <f>33735.19-33735.19</f>
        <v>0</v>
      </c>
      <c r="G1188" s="1">
        <f>603191.85-601094.64</f>
        <v>2097.2099999999627</v>
      </c>
      <c r="H1188" s="1">
        <f t="shared" si="113"/>
        <v>0</v>
      </c>
      <c r="I1188" s="1"/>
      <c r="J1188" s="3">
        <f t="shared" si="115"/>
        <v>2097.2099999999627</v>
      </c>
      <c r="K1188" s="4">
        <f t="shared" si="116"/>
        <v>1289784.1499999771</v>
      </c>
    </row>
    <row r="1189" spans="1:11" ht="18.75" x14ac:dyDescent="0.3">
      <c r="A1189" s="2">
        <v>45173</v>
      </c>
      <c r="B1189" s="3">
        <f t="shared" si="111"/>
        <v>0</v>
      </c>
      <c r="C1189" s="3">
        <f>24116.59-22927.2</f>
        <v>1189.3899999999994</v>
      </c>
      <c r="D1189" s="1">
        <f t="shared" si="112"/>
        <v>0</v>
      </c>
      <c r="E1189" s="3">
        <f>400472.27-400472.27</f>
        <v>0</v>
      </c>
      <c r="F1189" s="1">
        <f>34544.05-33735.19</f>
        <v>808.86000000000058</v>
      </c>
      <c r="G1189" s="1">
        <f>603191.85-603191.85</f>
        <v>0</v>
      </c>
      <c r="H1189" s="1">
        <f t="shared" si="113"/>
        <v>0</v>
      </c>
      <c r="I1189" s="1"/>
      <c r="J1189" s="3">
        <f t="shared" si="115"/>
        <v>1998.25</v>
      </c>
      <c r="K1189" s="4">
        <f t="shared" si="116"/>
        <v>1228923.75</v>
      </c>
    </row>
    <row r="1190" spans="1:11" ht="18.75" x14ac:dyDescent="0.3">
      <c r="A1190" s="2">
        <v>45174</v>
      </c>
      <c r="B1190" s="3">
        <f t="shared" si="111"/>
        <v>0</v>
      </c>
      <c r="C1190" s="3">
        <f>26374.65-24116.59</f>
        <v>2258.0600000000013</v>
      </c>
      <c r="D1190" s="1">
        <f t="shared" si="112"/>
        <v>0</v>
      </c>
      <c r="E1190" s="3">
        <f>400472.27-400472.27</f>
        <v>0</v>
      </c>
      <c r="F1190" s="1">
        <f t="shared" ref="F1190:F1199" si="117">34544.05-34544.05</f>
        <v>0</v>
      </c>
      <c r="G1190" s="1">
        <f>603790.97-603191.85</f>
        <v>599.11999999999534</v>
      </c>
      <c r="H1190" s="1">
        <f t="shared" si="113"/>
        <v>0</v>
      </c>
      <c r="I1190" s="1"/>
      <c r="J1190" s="3">
        <f t="shared" si="115"/>
        <v>2857.1799999999967</v>
      </c>
      <c r="K1190" s="4">
        <f t="shared" si="116"/>
        <v>1757165.6999999979</v>
      </c>
    </row>
    <row r="1191" spans="1:11" ht="18.75" x14ac:dyDescent="0.3">
      <c r="A1191" s="2">
        <v>45175</v>
      </c>
      <c r="B1191" s="3">
        <f t="shared" si="111"/>
        <v>0</v>
      </c>
      <c r="C1191" s="3">
        <f>28410.39-26374.65</f>
        <v>2035.739999999998</v>
      </c>
      <c r="D1191" s="1">
        <f t="shared" si="112"/>
        <v>0</v>
      </c>
      <c r="E1191" s="3">
        <f>401169.61-400472.27</f>
        <v>697.3399999999674</v>
      </c>
      <c r="F1191" s="1">
        <f t="shared" si="117"/>
        <v>0</v>
      </c>
      <c r="G1191" s="1">
        <f>603790.97-603790.97</f>
        <v>0</v>
      </c>
      <c r="H1191" s="1">
        <f t="shared" si="113"/>
        <v>0</v>
      </c>
      <c r="I1191" s="1"/>
      <c r="J1191" s="3">
        <f t="shared" si="115"/>
        <v>2733.0799999999654</v>
      </c>
      <c r="K1191" s="4">
        <f t="shared" si="116"/>
        <v>1680844.1999999788</v>
      </c>
    </row>
    <row r="1192" spans="1:11" ht="18.75" x14ac:dyDescent="0.3">
      <c r="A1192" s="2">
        <v>45176</v>
      </c>
      <c r="B1192" s="3">
        <f t="shared" si="111"/>
        <v>0</v>
      </c>
      <c r="C1192" s="3">
        <f>28410.39-28410.39</f>
        <v>0</v>
      </c>
      <c r="D1192" s="1">
        <f t="shared" si="112"/>
        <v>0</v>
      </c>
      <c r="E1192" s="3">
        <f>402887.17-401169.61</f>
        <v>1717.5599999999977</v>
      </c>
      <c r="F1192" s="1">
        <f t="shared" si="117"/>
        <v>0</v>
      </c>
      <c r="G1192" s="1">
        <f>604553.61-603790.97</f>
        <v>762.64000000001397</v>
      </c>
      <c r="H1192" s="1">
        <f t="shared" si="113"/>
        <v>0</v>
      </c>
      <c r="I1192" s="1"/>
      <c r="J1192" s="3">
        <f t="shared" si="115"/>
        <v>2480.2000000000116</v>
      </c>
      <c r="K1192" s="4">
        <f t="shared" si="116"/>
        <v>1525323.0000000072</v>
      </c>
    </row>
    <row r="1193" spans="1:11" ht="18.75" x14ac:dyDescent="0.3">
      <c r="A1193" s="2">
        <v>45177</v>
      </c>
      <c r="B1193" s="3">
        <f t="shared" si="111"/>
        <v>0</v>
      </c>
      <c r="C1193" s="3">
        <f>28410.39-28410.39</f>
        <v>0</v>
      </c>
      <c r="D1193" s="1">
        <f t="shared" si="112"/>
        <v>0</v>
      </c>
      <c r="E1193" s="3">
        <f>403868.1-402887.17</f>
        <v>980.92999999999302</v>
      </c>
      <c r="F1193" s="1">
        <f t="shared" si="117"/>
        <v>0</v>
      </c>
      <c r="G1193" s="1">
        <f>606177.54-604553.61</f>
        <v>1623.9300000000512</v>
      </c>
      <c r="H1193" s="1">
        <f t="shared" si="113"/>
        <v>0</v>
      </c>
      <c r="I1193" s="1"/>
      <c r="J1193" s="3">
        <f t="shared" si="115"/>
        <v>2604.8600000000442</v>
      </c>
      <c r="K1193" s="4">
        <f t="shared" si="116"/>
        <v>1601988.9000000271</v>
      </c>
    </row>
    <row r="1194" spans="1:11" ht="18.75" x14ac:dyDescent="0.3">
      <c r="A1194" s="2">
        <v>45178</v>
      </c>
      <c r="B1194" s="3">
        <f t="shared" si="111"/>
        <v>0</v>
      </c>
      <c r="C1194" s="3">
        <f>28410.39-28410.39</f>
        <v>0</v>
      </c>
      <c r="D1194" s="1">
        <f t="shared" si="112"/>
        <v>0</v>
      </c>
      <c r="E1194" s="3">
        <f>404781.12-403868.1</f>
        <v>913.02000000001863</v>
      </c>
      <c r="F1194" s="1">
        <f t="shared" si="117"/>
        <v>0</v>
      </c>
      <c r="G1194" s="1">
        <f>608249.45-606177.54</f>
        <v>2071.9099999999162</v>
      </c>
      <c r="H1194" s="1">
        <f t="shared" si="113"/>
        <v>0</v>
      </c>
      <c r="I1194" s="1"/>
      <c r="J1194" s="3">
        <f t="shared" si="115"/>
        <v>2984.9299999999348</v>
      </c>
      <c r="K1194" s="4">
        <f t="shared" si="116"/>
        <v>1835731.9499999599</v>
      </c>
    </row>
    <row r="1195" spans="1:11" ht="18.75" x14ac:dyDescent="0.3">
      <c r="A1195" s="2">
        <v>45179</v>
      </c>
      <c r="B1195" s="3">
        <f t="shared" si="111"/>
        <v>0</v>
      </c>
      <c r="C1195" s="3">
        <f>28410.39-28410.39</f>
        <v>0</v>
      </c>
      <c r="D1195" s="1">
        <f t="shared" si="112"/>
        <v>0</v>
      </c>
      <c r="E1195" s="3">
        <f>406330.6-404781.12</f>
        <v>1549.4799999999814</v>
      </c>
      <c r="F1195" s="1">
        <f t="shared" si="117"/>
        <v>0</v>
      </c>
      <c r="G1195" s="1">
        <f>609199.46-608249.45</f>
        <v>950.01000000000931</v>
      </c>
      <c r="H1195" s="1">
        <f t="shared" si="113"/>
        <v>0</v>
      </c>
      <c r="I1195" s="1"/>
      <c r="J1195" s="3">
        <f t="shared" si="115"/>
        <v>2499.4899999999907</v>
      </c>
      <c r="K1195" s="4">
        <f t="shared" si="116"/>
        <v>1537186.3499999943</v>
      </c>
    </row>
    <row r="1196" spans="1:11" ht="18.75" x14ac:dyDescent="0.3">
      <c r="A1196" s="2">
        <v>45180</v>
      </c>
      <c r="B1196" s="3">
        <f t="shared" si="111"/>
        <v>0</v>
      </c>
      <c r="C1196" s="3">
        <f>28772.61-28410.39</f>
        <v>362.22000000000116</v>
      </c>
      <c r="D1196" s="1">
        <f t="shared" si="112"/>
        <v>0</v>
      </c>
      <c r="E1196" s="3">
        <f>407291.69-406330.6</f>
        <v>961.09000000002561</v>
      </c>
      <c r="F1196" s="1">
        <f t="shared" si="117"/>
        <v>0</v>
      </c>
      <c r="G1196" s="1">
        <f>610219.66-609199.46</f>
        <v>1020.2000000000698</v>
      </c>
      <c r="H1196" s="1">
        <f t="shared" si="113"/>
        <v>0</v>
      </c>
      <c r="I1196" s="1"/>
      <c r="J1196" s="3">
        <f t="shared" si="115"/>
        <v>2343.5100000000966</v>
      </c>
      <c r="K1196" s="4">
        <f t="shared" si="116"/>
        <v>1441258.6500000595</v>
      </c>
    </row>
    <row r="1197" spans="1:11" ht="18.75" x14ac:dyDescent="0.3">
      <c r="A1197" s="2">
        <v>45181</v>
      </c>
      <c r="B1197" s="3">
        <f t="shared" si="111"/>
        <v>0</v>
      </c>
      <c r="C1197" s="3">
        <f>28772.61-28772.61</f>
        <v>0</v>
      </c>
      <c r="D1197" s="1">
        <f t="shared" si="112"/>
        <v>0</v>
      </c>
      <c r="E1197" s="3">
        <f>409273.84-407291.69</f>
        <v>1982.1500000000233</v>
      </c>
      <c r="F1197" s="1">
        <f t="shared" si="117"/>
        <v>0</v>
      </c>
      <c r="G1197" s="1">
        <f>611234.88-610219.66</f>
        <v>1015.2199999999721</v>
      </c>
      <c r="H1197" s="1">
        <f t="shared" si="113"/>
        <v>0</v>
      </c>
      <c r="I1197" s="1"/>
      <c r="J1197" s="3">
        <f t="shared" si="115"/>
        <v>2997.3699999999953</v>
      </c>
      <c r="K1197" s="4">
        <f t="shared" si="116"/>
        <v>1843382.549999997</v>
      </c>
    </row>
    <row r="1198" spans="1:11" ht="18.75" x14ac:dyDescent="0.3">
      <c r="A1198" s="2">
        <v>45182</v>
      </c>
      <c r="B1198" s="3">
        <f t="shared" si="111"/>
        <v>0</v>
      </c>
      <c r="C1198" s="3">
        <f>28772.61-28772.61</f>
        <v>0</v>
      </c>
      <c r="D1198" s="1">
        <f t="shared" si="112"/>
        <v>0</v>
      </c>
      <c r="E1198" s="3">
        <f>410066.68-409273.84</f>
        <v>792.8399999999674</v>
      </c>
      <c r="F1198" s="1">
        <f t="shared" si="117"/>
        <v>0</v>
      </c>
      <c r="G1198" s="1">
        <f>613107.15-611234.88</f>
        <v>1872.2700000000186</v>
      </c>
      <c r="H1198" s="1">
        <f t="shared" si="113"/>
        <v>0</v>
      </c>
      <c r="I1198" s="1"/>
      <c r="J1198" s="3">
        <f t="shared" si="115"/>
        <v>2665.109999999986</v>
      </c>
      <c r="K1198" s="4">
        <f t="shared" si="116"/>
        <v>1639042.6499999915</v>
      </c>
    </row>
    <row r="1199" spans="1:11" ht="18.75" x14ac:dyDescent="0.3">
      <c r="A1199" s="2">
        <v>45183</v>
      </c>
      <c r="B1199" s="3">
        <f t="shared" si="111"/>
        <v>0</v>
      </c>
      <c r="C1199" s="3">
        <f>28772.61-28772.61</f>
        <v>0</v>
      </c>
      <c r="D1199" s="1">
        <f t="shared" si="112"/>
        <v>0</v>
      </c>
      <c r="E1199" s="3">
        <f>411118.69-410066.68</f>
        <v>1052.0100000000093</v>
      </c>
      <c r="F1199" s="1">
        <f t="shared" si="117"/>
        <v>0</v>
      </c>
      <c r="G1199" s="1">
        <f>615349.01-613107.15</f>
        <v>2241.859999999986</v>
      </c>
      <c r="H1199" s="1">
        <f t="shared" si="113"/>
        <v>0</v>
      </c>
      <c r="I1199" s="1"/>
      <c r="J1199" s="3">
        <f t="shared" si="115"/>
        <v>3293.8699999999953</v>
      </c>
      <c r="K1199" s="4">
        <f t="shared" si="116"/>
        <v>2025730.049999997</v>
      </c>
    </row>
    <row r="1200" spans="1:11" ht="18.75" x14ac:dyDescent="0.3">
      <c r="A1200" s="2">
        <v>45184</v>
      </c>
      <c r="B1200" s="3"/>
      <c r="C1200" s="3"/>
      <c r="D1200" s="1"/>
      <c r="E1200" s="3"/>
      <c r="F1200" s="1"/>
      <c r="G1200" s="1"/>
      <c r="H1200" s="1"/>
      <c r="I1200" s="1"/>
      <c r="J1200" s="3"/>
      <c r="K1200" s="4"/>
    </row>
    <row r="1201" spans="1:11" ht="18.75" x14ac:dyDescent="0.3">
      <c r="A1201" s="2">
        <v>45185</v>
      </c>
      <c r="B1201" s="3"/>
      <c r="C1201" s="3"/>
      <c r="D1201" s="1"/>
      <c r="E1201" s="3"/>
      <c r="F1201" s="1"/>
      <c r="G1201" s="1"/>
      <c r="H1201" s="1"/>
      <c r="I1201" s="1"/>
      <c r="J1201" s="3"/>
      <c r="K1201" s="4"/>
    </row>
    <row r="1202" spans="1:11" ht="18.75" x14ac:dyDescent="0.3">
      <c r="A1202" s="2">
        <v>45186</v>
      </c>
      <c r="B1202" s="3"/>
      <c r="C1202" s="3"/>
      <c r="D1202" s="1"/>
      <c r="E1202" s="3"/>
      <c r="F1202" s="1"/>
      <c r="G1202" s="1"/>
      <c r="H1202" s="1"/>
      <c r="I1202" s="1"/>
      <c r="J1202" s="3"/>
      <c r="K1202" s="4"/>
    </row>
    <row r="1203" spans="1:11" ht="18.75" x14ac:dyDescent="0.3">
      <c r="A1203" s="2">
        <v>45187</v>
      </c>
      <c r="B1203" s="3"/>
      <c r="C1203" s="3"/>
      <c r="D1203" s="1"/>
      <c r="E1203" s="3"/>
      <c r="F1203" s="1"/>
      <c r="G1203" s="1"/>
      <c r="H1203" s="1"/>
      <c r="I1203" s="1"/>
      <c r="J1203" s="3"/>
      <c r="K1203" s="4"/>
    </row>
    <row r="1204" spans="1:11" ht="18.75" x14ac:dyDescent="0.3">
      <c r="A1204" s="2">
        <v>45188</v>
      </c>
      <c r="B1204" s="3"/>
      <c r="C1204" s="3"/>
      <c r="D1204" s="1"/>
      <c r="E1204" s="3"/>
      <c r="F1204" s="1"/>
      <c r="G1204" s="1"/>
      <c r="H1204" s="1"/>
      <c r="I1204" s="1"/>
      <c r="J1204" s="3"/>
      <c r="K1204" s="4"/>
    </row>
    <row r="1205" spans="1:11" ht="18.75" x14ac:dyDescent="0.3">
      <c r="A1205" s="2">
        <v>45189</v>
      </c>
      <c r="B1205" s="3"/>
      <c r="C1205" s="3"/>
      <c r="D1205" s="1"/>
      <c r="E1205" s="3"/>
      <c r="F1205" s="1"/>
      <c r="G1205" s="1"/>
      <c r="H1205" s="1"/>
      <c r="I1205" s="1"/>
      <c r="J1205" s="3"/>
      <c r="K1205" s="4"/>
    </row>
    <row r="1206" spans="1:11" ht="18.75" x14ac:dyDescent="0.3">
      <c r="A1206" s="2">
        <v>45190</v>
      </c>
      <c r="B1206" s="3"/>
      <c r="C1206" s="3"/>
      <c r="D1206" s="1"/>
      <c r="E1206" s="3"/>
      <c r="F1206" s="1"/>
      <c r="G1206" s="1"/>
      <c r="H1206" s="1"/>
      <c r="I1206" s="1"/>
      <c r="J1206" s="3"/>
      <c r="K1206" s="4"/>
    </row>
    <row r="1207" spans="1:11" ht="18.75" x14ac:dyDescent="0.3">
      <c r="A1207" s="2">
        <v>45191</v>
      </c>
      <c r="B1207" s="3"/>
      <c r="C1207" s="3"/>
      <c r="D1207" s="1"/>
      <c r="E1207" s="3"/>
      <c r="F1207" s="1"/>
      <c r="G1207" s="1"/>
      <c r="H1207" s="1"/>
      <c r="I1207" s="1"/>
      <c r="J1207" s="3"/>
      <c r="K1207" s="4"/>
    </row>
    <row r="1208" spans="1:11" ht="18.75" x14ac:dyDescent="0.3">
      <c r="A1208" s="2">
        <v>45192</v>
      </c>
      <c r="B1208" s="3"/>
      <c r="C1208" s="3"/>
      <c r="D1208" s="1"/>
      <c r="E1208" s="3"/>
      <c r="F1208" s="1"/>
      <c r="G1208" s="1"/>
      <c r="H1208" s="1"/>
      <c r="I1208" s="1"/>
      <c r="J1208" s="3"/>
      <c r="K1208" s="4"/>
    </row>
    <row r="1209" spans="1:11" ht="18.75" x14ac:dyDescent="0.3">
      <c r="A1209" s="2">
        <v>45193</v>
      </c>
      <c r="B1209" s="3"/>
      <c r="C1209" s="3"/>
      <c r="D1209" s="1"/>
      <c r="E1209" s="3"/>
      <c r="F1209" s="1"/>
      <c r="G1209" s="1"/>
      <c r="H1209" s="1"/>
      <c r="I1209" s="1"/>
      <c r="J1209" s="3"/>
      <c r="K1209" s="4"/>
    </row>
    <row r="1210" spans="1:11" ht="18.75" x14ac:dyDescent="0.3">
      <c r="A1210" s="2">
        <v>45194</v>
      </c>
      <c r="B1210" s="3"/>
      <c r="C1210" s="3"/>
      <c r="D1210" s="1"/>
      <c r="E1210" s="3"/>
      <c r="F1210" s="1"/>
      <c r="G1210" s="1"/>
      <c r="H1210" s="1"/>
      <c r="I1210" s="1"/>
      <c r="J1210" s="3"/>
      <c r="K1210" s="4"/>
    </row>
    <row r="1211" spans="1:11" ht="18.75" x14ac:dyDescent="0.3">
      <c r="A1211" s="2">
        <v>45195</v>
      </c>
      <c r="B1211" s="3"/>
      <c r="C1211" s="3"/>
      <c r="D1211" s="1"/>
      <c r="E1211" s="3"/>
      <c r="F1211" s="1"/>
      <c r="G1211" s="1"/>
      <c r="H1211" s="1"/>
      <c r="I1211" s="1"/>
      <c r="J1211" s="3"/>
      <c r="K1211" s="4"/>
    </row>
    <row r="1212" spans="1:11" ht="18.75" x14ac:dyDescent="0.3">
      <c r="A1212" s="2">
        <v>45196</v>
      </c>
      <c r="B1212" s="3"/>
      <c r="C1212" s="3"/>
      <c r="D1212" s="1"/>
      <c r="E1212" s="3"/>
      <c r="F1212" s="1"/>
      <c r="G1212" s="1"/>
      <c r="H1212" s="1"/>
      <c r="I1212" s="1"/>
      <c r="J1212" s="3"/>
      <c r="K1212" s="4"/>
    </row>
    <row r="1213" spans="1:11" ht="18.75" x14ac:dyDescent="0.3">
      <c r="A1213" s="2">
        <v>45197</v>
      </c>
      <c r="B1213" s="3"/>
      <c r="C1213" s="3"/>
      <c r="D1213" s="1"/>
      <c r="E1213" s="3"/>
      <c r="F1213" s="1"/>
      <c r="G1213" s="1"/>
      <c r="H1213" s="1"/>
      <c r="I1213" s="1"/>
      <c r="J1213" s="3"/>
      <c r="K1213" s="4"/>
    </row>
    <row r="1214" spans="1:11" ht="18.75" x14ac:dyDescent="0.3">
      <c r="A1214" s="2">
        <v>45198</v>
      </c>
      <c r="B1214" s="3"/>
      <c r="C1214" s="3"/>
      <c r="D1214" s="1"/>
      <c r="E1214" s="3"/>
      <c r="F1214" s="1"/>
      <c r="G1214" s="1"/>
      <c r="H1214" s="1"/>
      <c r="I1214" s="1"/>
      <c r="J1214" s="3"/>
      <c r="K1214" s="4"/>
    </row>
    <row r="1215" spans="1:11" ht="18.75" x14ac:dyDescent="0.3">
      <c r="A1215" s="2">
        <v>45199</v>
      </c>
      <c r="B1215" s="3"/>
      <c r="C1215" s="3"/>
      <c r="D1215" s="1"/>
      <c r="E1215" s="3"/>
      <c r="F1215" s="1"/>
      <c r="G1215" s="1"/>
      <c r="H1215" s="1"/>
      <c r="I1215" s="1"/>
      <c r="J1215" s="3"/>
      <c r="K1215" s="4"/>
    </row>
    <row r="1216" spans="1:11" ht="18.75" x14ac:dyDescent="0.3">
      <c r="A1216" s="2"/>
      <c r="B1216" s="3"/>
      <c r="C1216" s="3"/>
      <c r="D1216" s="3"/>
      <c r="E1216" s="1"/>
      <c r="F1216" s="1"/>
      <c r="G1216" s="1"/>
      <c r="H1216" s="1"/>
      <c r="I1216" s="1"/>
      <c r="J1216" s="6"/>
      <c r="K1216" s="3"/>
    </row>
    <row r="1217" spans="1:11" ht="18.75" x14ac:dyDescent="0.3">
      <c r="A1217" s="5" t="s">
        <v>10</v>
      </c>
      <c r="B1217" s="5" t="s">
        <v>10</v>
      </c>
      <c r="C1217" s="5" t="s">
        <v>10</v>
      </c>
      <c r="D1217" s="5" t="s">
        <v>10</v>
      </c>
      <c r="E1217" s="5" t="s">
        <v>10</v>
      </c>
      <c r="F1217" s="5" t="s">
        <v>10</v>
      </c>
      <c r="G1217" s="5" t="s">
        <v>10</v>
      </c>
      <c r="H1217" s="5" t="s">
        <v>10</v>
      </c>
      <c r="I1217" s="5" t="s">
        <v>10</v>
      </c>
      <c r="J1217" s="5" t="s">
        <v>10</v>
      </c>
      <c r="K1217" s="5" t="s">
        <v>10</v>
      </c>
    </row>
    <row r="1218" spans="1:11" ht="18.75" x14ac:dyDescent="0.3">
      <c r="A1218" s="6" t="s">
        <v>11</v>
      </c>
      <c r="B1218" s="6">
        <f t="shared" ref="B1218:K1218" si="118">SUM(B1186:B1217)</f>
        <v>0</v>
      </c>
      <c r="C1218" s="6">
        <f t="shared" si="118"/>
        <v>5845.41</v>
      </c>
      <c r="D1218" s="6">
        <f t="shared" si="118"/>
        <v>0</v>
      </c>
      <c r="E1218" s="6">
        <f t="shared" si="118"/>
        <v>13398.989999999991</v>
      </c>
      <c r="F1218" s="6">
        <f t="shared" si="118"/>
        <v>808.86000000000058</v>
      </c>
      <c r="G1218" s="6">
        <f t="shared" si="118"/>
        <v>16532.790000000037</v>
      </c>
      <c r="H1218" s="6">
        <f t="shared" si="118"/>
        <v>0</v>
      </c>
      <c r="I1218" s="6">
        <f t="shared" si="118"/>
        <v>0</v>
      </c>
      <c r="J1218" s="6">
        <f t="shared" si="118"/>
        <v>36586.050000000032</v>
      </c>
      <c r="K1218" s="6">
        <f t="shared" si="118"/>
        <v>22500420.750000015</v>
      </c>
    </row>
    <row r="1219" spans="1:11" ht="18.75" x14ac:dyDescent="0.3">
      <c r="A1219" s="5" t="s">
        <v>10</v>
      </c>
      <c r="B1219" s="5" t="s">
        <v>12</v>
      </c>
      <c r="C1219" s="5" t="s">
        <v>12</v>
      </c>
      <c r="D1219" s="5" t="s">
        <v>12</v>
      </c>
      <c r="E1219" s="5" t="s">
        <v>12</v>
      </c>
      <c r="F1219" s="5" t="s">
        <v>12</v>
      </c>
      <c r="G1219" s="5" t="s">
        <v>12</v>
      </c>
      <c r="H1219" s="5" t="s">
        <v>12</v>
      </c>
      <c r="I1219" s="5" t="s">
        <v>12</v>
      </c>
      <c r="J1219" s="5" t="s">
        <v>12</v>
      </c>
      <c r="K1219" s="5" t="s">
        <v>13</v>
      </c>
    </row>
    <row r="1220" spans="1:11" ht="18.75" x14ac:dyDescent="0.3">
      <c r="A1220" s="6" t="s">
        <v>14</v>
      </c>
      <c r="B1220" s="6">
        <f>350+15000</f>
        <v>15350</v>
      </c>
      <c r="C1220" s="6">
        <v>0</v>
      </c>
      <c r="D1220" s="6">
        <f>2900+15000</f>
        <v>17900</v>
      </c>
      <c r="E1220" s="6"/>
      <c r="F1220" s="7">
        <f>6000+15250</f>
        <v>21250</v>
      </c>
      <c r="G1220" s="6">
        <v>0</v>
      </c>
      <c r="H1220" s="6">
        <v>0</v>
      </c>
      <c r="I1220" s="6">
        <v>0</v>
      </c>
      <c r="J1220" s="6">
        <f>SUM(B1220:I1220)</f>
        <v>54500</v>
      </c>
      <c r="K1220" s="8">
        <f>J1220*608.49</f>
        <v>33162705</v>
      </c>
    </row>
    <row r="1221" spans="1:11" ht="18.75" x14ac:dyDescent="0.3">
      <c r="A1221" s="6" t="s">
        <v>14</v>
      </c>
      <c r="B1221" s="6">
        <f>B1220-B1218-C1218-53+36+12</f>
        <v>9499.59</v>
      </c>
      <c r="C1221" s="6">
        <v>0</v>
      </c>
      <c r="D1221" s="6">
        <f>D1220-D1218-E1218+53+200-3+61+11+32+45</f>
        <v>4900.0100000000093</v>
      </c>
      <c r="E1221" s="6"/>
      <c r="F1221" s="7">
        <f>F1220-F1218-G1218-H1218-I1218+28-2+16+20+16+22-8</f>
        <v>4000.3499999999622</v>
      </c>
      <c r="G1221" s="6">
        <v>0</v>
      </c>
      <c r="H1221" s="6">
        <f>H1220</f>
        <v>0</v>
      </c>
      <c r="I1221" s="6">
        <v>0</v>
      </c>
      <c r="J1221" s="6">
        <f>SUM(B1221:I1221)</f>
        <v>18399.949999999972</v>
      </c>
      <c r="K1221" s="8">
        <f>J1221*609.68</f>
        <v>11218081.515999982</v>
      </c>
    </row>
    <row r="1222" spans="1:11" ht="18.75" x14ac:dyDescent="0.3">
      <c r="A1222" s="6"/>
      <c r="B1222" s="6">
        <v>0</v>
      </c>
      <c r="C1222" s="6">
        <v>0</v>
      </c>
      <c r="D1222" s="6">
        <v>0</v>
      </c>
      <c r="E1222" s="6"/>
      <c r="F1222" s="6">
        <v>0</v>
      </c>
      <c r="G1222" s="6">
        <v>0</v>
      </c>
      <c r="H1222" s="6"/>
      <c r="I1222" s="6">
        <v>0</v>
      </c>
      <c r="J1222" s="6">
        <v>0</v>
      </c>
      <c r="K1222" s="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BAKKAOIL</dc:creator>
  <cp:lastModifiedBy>BAKKAOIL</cp:lastModifiedBy>
  <dcterms:created xsi:type="dcterms:W3CDTF">2023-09-15T15:46:31Z</dcterms:created>
  <dcterms:modified xsi:type="dcterms:W3CDTF">2023-09-15T15:58:50Z</dcterms:modified>
</cp:coreProperties>
</file>