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mmad Teo Saputra\Downloads\"/>
    </mc:Choice>
  </mc:AlternateContent>
  <xr:revisionPtr revIDLastSave="0" documentId="13_ncr:1_{BC9B266A-26AE-4F13-8718-163F04612C23}" xr6:coauthVersionLast="47" xr6:coauthVersionMax="47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e.81 TW I 2024 " sheetId="1" state="hidden" r:id="rId1"/>
    <sheet name="Sheet1" sheetId="2" state="hidden" r:id="rId2"/>
    <sheet name="e.81 TW II 2024.ok" sheetId="3" r:id="rId3"/>
  </sheets>
  <definedNames>
    <definedName name="_xlnm.Print_Area" localSheetId="0">'e.81 TW I 2024 '!$A$1:$AC$164</definedName>
    <definedName name="_xlnm.Print_Area" localSheetId="2">'e.81 TW II 2024.ok'!$A$1:$AB$165</definedName>
    <definedName name="_xlnm.Print_Titles" localSheetId="0">'e.81 TW I 2024 '!$5:$8</definedName>
    <definedName name="_xlnm.Print_Titles" localSheetId="2">'e.81 TW II 2024.ok'!$5:$8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9" i="3" l="1"/>
  <c r="Z147" i="3"/>
  <c r="Q149" i="3"/>
  <c r="Q64" i="3"/>
  <c r="Q139" i="3"/>
  <c r="M110" i="3"/>
  <c r="M74" i="3"/>
  <c r="M76" i="3"/>
  <c r="M112" i="3"/>
  <c r="M101" i="3"/>
  <c r="M94" i="3"/>
  <c r="M92" i="3"/>
  <c r="M85" i="3"/>
  <c r="M66" i="3"/>
  <c r="M69" i="3"/>
  <c r="M59" i="3"/>
  <c r="M60" i="3"/>
  <c r="M52" i="3"/>
  <c r="M54" i="3"/>
  <c r="M44" i="3"/>
  <c r="M46" i="3"/>
  <c r="M33" i="3"/>
  <c r="M34" i="3"/>
  <c r="M25" i="3"/>
  <c r="M27" i="3"/>
  <c r="M19" i="3"/>
  <c r="M20" i="3"/>
  <c r="M10" i="3"/>
  <c r="M12" i="3"/>
  <c r="M118" i="3"/>
  <c r="M124" i="3"/>
  <c r="M126" i="3"/>
  <c r="M128" i="3"/>
  <c r="M142" i="3"/>
  <c r="M145" i="3"/>
  <c r="C101" i="3"/>
  <c r="B94" i="3"/>
  <c r="B85" i="3"/>
  <c r="B46" i="3"/>
  <c r="M152" i="3" l="1"/>
  <c r="Q144" i="3"/>
  <c r="Q142" i="3" s="1"/>
  <c r="Q143" i="3"/>
  <c r="Q107" i="3"/>
  <c r="Q99" i="3"/>
  <c r="Q96" i="3"/>
  <c r="Q87" i="3"/>
  <c r="Q82" i="3"/>
  <c r="Q80" i="3"/>
  <c r="Q68" i="3"/>
  <c r="Q66" i="3" s="1"/>
  <c r="Q62" i="3"/>
  <c r="Q60" i="3" s="1"/>
  <c r="Q49" i="3"/>
  <c r="Q40" i="3"/>
  <c r="Q36" i="3"/>
  <c r="Q30" i="3"/>
  <c r="Q22" i="3"/>
  <c r="Q16" i="3"/>
  <c r="Q148" i="3"/>
  <c r="Q147" i="3"/>
  <c r="Q146" i="3"/>
  <c r="Q145" i="3" s="1"/>
  <c r="Q140" i="3"/>
  <c r="Q137" i="3"/>
  <c r="Q136" i="3"/>
  <c r="Q135" i="3"/>
  <c r="Q134" i="3"/>
  <c r="Q133" i="3"/>
  <c r="Q132" i="3"/>
  <c r="Q131" i="3"/>
  <c r="Q129" i="3"/>
  <c r="Q117" i="3"/>
  <c r="Q116" i="3"/>
  <c r="Q113" i="3"/>
  <c r="Q112" i="3" s="1"/>
  <c r="Q123" i="3"/>
  <c r="Q122" i="3"/>
  <c r="Q119" i="3"/>
  <c r="Q94" i="3"/>
  <c r="Q56" i="3"/>
  <c r="Q54" i="3" s="1"/>
  <c r="Q52" i="3" s="1"/>
  <c r="O56" i="3"/>
  <c r="Q124" i="3"/>
  <c r="O140" i="3"/>
  <c r="O139" i="3"/>
  <c r="O135" i="3"/>
  <c r="O125" i="3"/>
  <c r="O122" i="3"/>
  <c r="O149" i="3"/>
  <c r="Q38" i="3"/>
  <c r="W119" i="3"/>
  <c r="Y119" i="3" s="1"/>
  <c r="V119" i="3"/>
  <c r="X119" i="3" s="1"/>
  <c r="Z119" i="3" s="1"/>
  <c r="O121" i="3"/>
  <c r="Q34" i="3" l="1"/>
  <c r="Q33" i="3" s="1"/>
  <c r="Q59" i="3"/>
  <c r="Q118" i="3"/>
  <c r="Q105" i="3"/>
  <c r="Q103" i="3"/>
  <c r="Q101" i="3" s="1"/>
  <c r="Q92" i="3" s="1"/>
  <c r="Q89" i="3"/>
  <c r="Q85" i="3" s="1"/>
  <c r="Q78" i="3"/>
  <c r="Q76" i="3" s="1"/>
  <c r="Q74" i="3" s="1"/>
  <c r="Q71" i="3"/>
  <c r="Q69" i="3" s="1"/>
  <c r="Q46" i="3"/>
  <c r="Q44" i="3" s="1"/>
  <c r="Q27" i="3"/>
  <c r="Q25" i="3" s="1"/>
  <c r="Q20" i="3"/>
  <c r="Q19" i="3" s="1"/>
  <c r="Q12" i="3"/>
  <c r="Q10" i="3" s="1"/>
  <c r="Q130" i="3"/>
  <c r="Q128" i="3" s="1"/>
  <c r="Q127" i="3"/>
  <c r="Q126" i="3" s="1"/>
  <c r="G118" i="3"/>
  <c r="Q110" i="3" l="1"/>
  <c r="Q152" i="3" s="1"/>
  <c r="V150" i="3"/>
  <c r="X150" i="3" s="1"/>
  <c r="Z150" i="3" s="1"/>
  <c r="O150" i="3"/>
  <c r="W150" i="3" s="1"/>
  <c r="Y150" i="3" s="1"/>
  <c r="AA150" i="3" s="1"/>
  <c r="V149" i="3"/>
  <c r="X149" i="3" s="1"/>
  <c r="Z149" i="3" s="1"/>
  <c r="W149" i="3"/>
  <c r="Y149" i="3" s="1"/>
  <c r="AA149" i="3" s="1"/>
  <c r="V148" i="3"/>
  <c r="X148" i="3" s="1"/>
  <c r="Z148" i="3" s="1"/>
  <c r="O148" i="3"/>
  <c r="W148" i="3" s="1"/>
  <c r="Y148" i="3" s="1"/>
  <c r="AA148" i="3" s="1"/>
  <c r="V147" i="3"/>
  <c r="X147" i="3" s="1"/>
  <c r="O147" i="3"/>
  <c r="V146" i="3"/>
  <c r="X146" i="3" s="1"/>
  <c r="Z146" i="3" s="1"/>
  <c r="O146" i="3"/>
  <c r="V145" i="3"/>
  <c r="X145" i="3" s="1"/>
  <c r="Z145" i="3" s="1"/>
  <c r="V144" i="3"/>
  <c r="X144" i="3" s="1"/>
  <c r="Z144" i="3" s="1"/>
  <c r="O144" i="3"/>
  <c r="W144" i="3" s="1"/>
  <c r="Y144" i="3" s="1"/>
  <c r="AA144" i="3" s="1"/>
  <c r="V143" i="3"/>
  <c r="X143" i="3" s="1"/>
  <c r="Z143" i="3" s="1"/>
  <c r="O143" i="3"/>
  <c r="V142" i="3"/>
  <c r="X142" i="3" s="1"/>
  <c r="Z142" i="3" s="1"/>
  <c r="V141" i="3"/>
  <c r="X141" i="3" s="1"/>
  <c r="Z141" i="3" s="1"/>
  <c r="O141" i="3"/>
  <c r="W141" i="3" s="1"/>
  <c r="Y141" i="3" s="1"/>
  <c r="AA141" i="3" s="1"/>
  <c r="V140" i="3"/>
  <c r="X140" i="3" s="1"/>
  <c r="Z140" i="3" s="1"/>
  <c r="W140" i="3"/>
  <c r="Y140" i="3" s="1"/>
  <c r="AA140" i="3" s="1"/>
  <c r="V139" i="3"/>
  <c r="X139" i="3" s="1"/>
  <c r="Z139" i="3" s="1"/>
  <c r="V138" i="3"/>
  <c r="X138" i="3" s="1"/>
  <c r="Z138" i="3" s="1"/>
  <c r="O138" i="3"/>
  <c r="V137" i="3"/>
  <c r="X137" i="3" s="1"/>
  <c r="Z137" i="3" s="1"/>
  <c r="M137" i="3"/>
  <c r="V136" i="3"/>
  <c r="X136" i="3" s="1"/>
  <c r="Z136" i="3" s="1"/>
  <c r="O136" i="3"/>
  <c r="W136" i="3" s="1"/>
  <c r="Y136" i="3" s="1"/>
  <c r="AA136" i="3" s="1"/>
  <c r="V135" i="3"/>
  <c r="X135" i="3" s="1"/>
  <c r="Z135" i="3" s="1"/>
  <c r="W135" i="3"/>
  <c r="Y135" i="3" s="1"/>
  <c r="AA135" i="3" s="1"/>
  <c r="V134" i="3"/>
  <c r="X134" i="3" s="1"/>
  <c r="Z134" i="3" s="1"/>
  <c r="O134" i="3"/>
  <c r="W134" i="3" s="1"/>
  <c r="Y134" i="3" s="1"/>
  <c r="AA134" i="3" s="1"/>
  <c r="V133" i="3"/>
  <c r="X133" i="3" s="1"/>
  <c r="Z133" i="3" s="1"/>
  <c r="O133" i="3"/>
  <c r="W133" i="3" s="1"/>
  <c r="Y133" i="3" s="1"/>
  <c r="AA133" i="3" s="1"/>
  <c r="V132" i="3"/>
  <c r="X132" i="3" s="1"/>
  <c r="Z132" i="3" s="1"/>
  <c r="O132" i="3"/>
  <c r="W132" i="3" s="1"/>
  <c r="Y132" i="3" s="1"/>
  <c r="AA132" i="3" s="1"/>
  <c r="V131" i="3"/>
  <c r="X131" i="3" s="1"/>
  <c r="Z131" i="3" s="1"/>
  <c r="O131" i="3"/>
  <c r="W131" i="3" s="1"/>
  <c r="Y131" i="3" s="1"/>
  <c r="AA131" i="3" s="1"/>
  <c r="V130" i="3"/>
  <c r="X130" i="3" s="1"/>
  <c r="Z130" i="3" s="1"/>
  <c r="O130" i="3"/>
  <c r="V129" i="3"/>
  <c r="X129" i="3" s="1"/>
  <c r="Z129" i="3" s="1"/>
  <c r="O129" i="3"/>
  <c r="Z128" i="3"/>
  <c r="V128" i="3"/>
  <c r="V127" i="3"/>
  <c r="X127" i="3" s="1"/>
  <c r="Z127" i="3" s="1"/>
  <c r="O127" i="3"/>
  <c r="Z126" i="3"/>
  <c r="V126" i="3"/>
  <c r="V125" i="3"/>
  <c r="X125" i="3" s="1"/>
  <c r="Z125" i="3" s="1"/>
  <c r="W125" i="3"/>
  <c r="Y125" i="3" s="1"/>
  <c r="AA125" i="3" s="1"/>
  <c r="V124" i="3"/>
  <c r="X124" i="3" s="1"/>
  <c r="Z124" i="3" s="1"/>
  <c r="O124" i="3"/>
  <c r="W124" i="3" s="1"/>
  <c r="Y124" i="3" s="1"/>
  <c r="AA124" i="3" s="1"/>
  <c r="V123" i="3"/>
  <c r="X123" i="3" s="1"/>
  <c r="Z123" i="3" s="1"/>
  <c r="O123" i="3"/>
  <c r="W123" i="3" s="1"/>
  <c r="Y123" i="3" s="1"/>
  <c r="AA123" i="3" s="1"/>
  <c r="V122" i="3"/>
  <c r="X122" i="3" s="1"/>
  <c r="Z122" i="3" s="1"/>
  <c r="W122" i="3"/>
  <c r="Y122" i="3" s="1"/>
  <c r="AA122" i="3" s="1"/>
  <c r="V121" i="3"/>
  <c r="X121" i="3" s="1"/>
  <c r="Z121" i="3" s="1"/>
  <c r="W121" i="3"/>
  <c r="Y121" i="3" s="1"/>
  <c r="AA121" i="3" s="1"/>
  <c r="V120" i="3"/>
  <c r="X120" i="3" s="1"/>
  <c r="Z120" i="3" s="1"/>
  <c r="O120" i="3"/>
  <c r="O118" i="3" s="1"/>
  <c r="Z118" i="3"/>
  <c r="V118" i="3"/>
  <c r="V117" i="3"/>
  <c r="X117" i="3" s="1"/>
  <c r="Z117" i="3" s="1"/>
  <c r="O117" i="3"/>
  <c r="W117" i="3" s="1"/>
  <c r="V116" i="3"/>
  <c r="X116" i="3" s="1"/>
  <c r="Z116" i="3" s="1"/>
  <c r="O116" i="3"/>
  <c r="W116" i="3" s="1"/>
  <c r="Y116" i="3" s="1"/>
  <c r="AA116" i="3" s="1"/>
  <c r="V115" i="3"/>
  <c r="X115" i="3" s="1"/>
  <c r="Z115" i="3" s="1"/>
  <c r="O115" i="3"/>
  <c r="W115" i="3" s="1"/>
  <c r="Y115" i="3" s="1"/>
  <c r="AA115" i="3" s="1"/>
  <c r="V114" i="3"/>
  <c r="X114" i="3" s="1"/>
  <c r="Z114" i="3" s="1"/>
  <c r="O114" i="3"/>
  <c r="W114" i="3" s="1"/>
  <c r="Y114" i="3" s="1"/>
  <c r="AA114" i="3" s="1"/>
  <c r="V113" i="3"/>
  <c r="X113" i="3" s="1"/>
  <c r="Z113" i="3" s="1"/>
  <c r="O113" i="3"/>
  <c r="V112" i="3"/>
  <c r="X112" i="3" s="1"/>
  <c r="Z112" i="3" s="1"/>
  <c r="V110" i="3"/>
  <c r="X110" i="3" s="1"/>
  <c r="Z110" i="3" s="1"/>
  <c r="V107" i="3"/>
  <c r="X107" i="3" s="1"/>
  <c r="Z107" i="3" s="1"/>
  <c r="O107" i="3"/>
  <c r="W107" i="3" s="1"/>
  <c r="Y107" i="3" s="1"/>
  <c r="AA107" i="3" s="1"/>
  <c r="V105" i="3"/>
  <c r="O105" i="3"/>
  <c r="V103" i="3"/>
  <c r="O103" i="3"/>
  <c r="V101" i="3"/>
  <c r="X101" i="3" s="1"/>
  <c r="Z101" i="3" s="1"/>
  <c r="V99" i="3"/>
  <c r="X99" i="3" s="1"/>
  <c r="Z99" i="3" s="1"/>
  <c r="O99" i="3"/>
  <c r="W99" i="3" s="1"/>
  <c r="Y99" i="3" s="1"/>
  <c r="AA99" i="3" s="1"/>
  <c r="V96" i="3"/>
  <c r="X96" i="3" s="1"/>
  <c r="Z96" i="3" s="1"/>
  <c r="O96" i="3"/>
  <c r="O94" i="3" s="1"/>
  <c r="V94" i="3"/>
  <c r="X94" i="3" s="1"/>
  <c r="Z94" i="3" s="1"/>
  <c r="W94" i="3"/>
  <c r="Y94" i="3" s="1"/>
  <c r="AA94" i="3" s="1"/>
  <c r="V92" i="3"/>
  <c r="X92" i="3" s="1"/>
  <c r="Z92" i="3" s="1"/>
  <c r="V89" i="3"/>
  <c r="X89" i="3" s="1"/>
  <c r="Z89" i="3" s="1"/>
  <c r="O89" i="3"/>
  <c r="W89" i="3" s="1"/>
  <c r="Y89" i="3" s="1"/>
  <c r="AA89" i="3" s="1"/>
  <c r="V87" i="3"/>
  <c r="X87" i="3" s="1"/>
  <c r="Z87" i="3" s="1"/>
  <c r="O87" i="3"/>
  <c r="G86" i="3"/>
  <c r="V85" i="3"/>
  <c r="X85" i="3" s="1"/>
  <c r="Z85" i="3" s="1"/>
  <c r="V82" i="3"/>
  <c r="X82" i="3" s="1"/>
  <c r="Z82" i="3" s="1"/>
  <c r="O82" i="3"/>
  <c r="W81" i="3"/>
  <c r="V81" i="3"/>
  <c r="V80" i="3"/>
  <c r="X80" i="3" s="1"/>
  <c r="Z80" i="3" s="1"/>
  <c r="O80" i="3"/>
  <c r="W80" i="3" s="1"/>
  <c r="Y80" i="3" s="1"/>
  <c r="AA80" i="3" s="1"/>
  <c r="V78" i="3"/>
  <c r="X78" i="3" s="1"/>
  <c r="Z78" i="3" s="1"/>
  <c r="O78" i="3"/>
  <c r="V76" i="3"/>
  <c r="X76" i="3" s="1"/>
  <c r="Z76" i="3" s="1"/>
  <c r="U76" i="3"/>
  <c r="U74" i="3" s="1"/>
  <c r="S76" i="3"/>
  <c r="S74" i="3" s="1"/>
  <c r="V74" i="3"/>
  <c r="X74" i="3" s="1"/>
  <c r="Z74" i="3" s="1"/>
  <c r="V71" i="3"/>
  <c r="X71" i="3" s="1"/>
  <c r="Z71" i="3" s="1"/>
  <c r="O71" i="3"/>
  <c r="V69" i="3"/>
  <c r="X69" i="3" s="1"/>
  <c r="Z69" i="3" s="1"/>
  <c r="V68" i="3"/>
  <c r="X68" i="3" s="1"/>
  <c r="Z68" i="3" s="1"/>
  <c r="O68" i="3"/>
  <c r="V66" i="3"/>
  <c r="X66" i="3" s="1"/>
  <c r="Z66" i="3" s="1"/>
  <c r="V64" i="3"/>
  <c r="X64" i="3" s="1"/>
  <c r="Z64" i="3" s="1"/>
  <c r="O64" i="3"/>
  <c r="W64" i="3" s="1"/>
  <c r="Y64" i="3" s="1"/>
  <c r="AA64" i="3" s="1"/>
  <c r="V63" i="3"/>
  <c r="X63" i="3" s="1"/>
  <c r="Z63" i="3" s="1"/>
  <c r="O63" i="3"/>
  <c r="W63" i="3" s="1"/>
  <c r="Y63" i="3" s="1"/>
  <c r="AA63" i="3" s="1"/>
  <c r="V62" i="3"/>
  <c r="X62" i="3" s="1"/>
  <c r="Z62" i="3" s="1"/>
  <c r="O62" i="3"/>
  <c r="G61" i="3"/>
  <c r="V60" i="3"/>
  <c r="X60" i="3" s="1"/>
  <c r="Z60" i="3" s="1"/>
  <c r="V59" i="3"/>
  <c r="X59" i="3" s="1"/>
  <c r="Z59" i="3" s="1"/>
  <c r="V56" i="3"/>
  <c r="X56" i="3" s="1"/>
  <c r="Z56" i="3" s="1"/>
  <c r="Z57" i="3" s="1"/>
  <c r="W56" i="3"/>
  <c r="Y56" i="3" s="1"/>
  <c r="AA56" i="3" s="1"/>
  <c r="AA57" i="3" s="1"/>
  <c r="V54" i="3"/>
  <c r="X54" i="3" s="1"/>
  <c r="Z54" i="3" s="1"/>
  <c r="O54" i="3"/>
  <c r="V52" i="3"/>
  <c r="X52" i="3" s="1"/>
  <c r="Z52" i="3" s="1"/>
  <c r="V49" i="3"/>
  <c r="X49" i="3" s="1"/>
  <c r="O49" i="3"/>
  <c r="V46" i="3"/>
  <c r="X46" i="3" s="1"/>
  <c r="Z46" i="3" s="1"/>
  <c r="V44" i="3"/>
  <c r="X44" i="3" s="1"/>
  <c r="Z44" i="3" s="1"/>
  <c r="V40" i="3"/>
  <c r="X40" i="3" s="1"/>
  <c r="Z40" i="3" s="1"/>
  <c r="O40" i="3"/>
  <c r="V38" i="3"/>
  <c r="X38" i="3" s="1"/>
  <c r="Z38" i="3" s="1"/>
  <c r="O38" i="3"/>
  <c r="W38" i="3" s="1"/>
  <c r="Y38" i="3" s="1"/>
  <c r="AA38" i="3" s="1"/>
  <c r="V36" i="3"/>
  <c r="X36" i="3" s="1"/>
  <c r="Z36" i="3" s="1"/>
  <c r="Z42" i="3" s="1"/>
  <c r="O36" i="3"/>
  <c r="O34" i="3" s="1"/>
  <c r="O33" i="3" s="1"/>
  <c r="V34" i="3"/>
  <c r="X34" i="3" s="1"/>
  <c r="Z34" i="3" s="1"/>
  <c r="V33" i="3"/>
  <c r="X33" i="3" s="1"/>
  <c r="Z33" i="3" s="1"/>
  <c r="V30" i="3"/>
  <c r="X30" i="3" s="1"/>
  <c r="O30" i="3"/>
  <c r="U27" i="3"/>
  <c r="T27" i="3"/>
  <c r="V27" i="3" s="1"/>
  <c r="X27" i="3" s="1"/>
  <c r="Z27" i="3" s="1"/>
  <c r="S27" i="3"/>
  <c r="S25" i="3" s="1"/>
  <c r="V25" i="3"/>
  <c r="X25" i="3" s="1"/>
  <c r="Z25" i="3" s="1"/>
  <c r="U25" i="3"/>
  <c r="V22" i="3"/>
  <c r="X22" i="3" s="1"/>
  <c r="Z22" i="3" s="1"/>
  <c r="Z23" i="3" s="1"/>
  <c r="O22" i="3"/>
  <c r="W22" i="3" s="1"/>
  <c r="Y22" i="3" s="1"/>
  <c r="AA22" i="3" s="1"/>
  <c r="AA23" i="3" s="1"/>
  <c r="V20" i="3"/>
  <c r="O20" i="3"/>
  <c r="W20" i="3" s="1"/>
  <c r="V19" i="3"/>
  <c r="X19" i="3" s="1"/>
  <c r="Z19" i="3" s="1"/>
  <c r="V16" i="3"/>
  <c r="X16" i="3" s="1"/>
  <c r="Z16" i="3" s="1"/>
  <c r="Z17" i="3" s="1"/>
  <c r="O16" i="3"/>
  <c r="W16" i="3" s="1"/>
  <c r="Y16" i="3" s="1"/>
  <c r="AA16" i="3" s="1"/>
  <c r="AA17" i="3" s="1"/>
  <c r="V12" i="3"/>
  <c r="X12" i="3" s="1"/>
  <c r="Z12" i="3" s="1"/>
  <c r="U12" i="3"/>
  <c r="U10" i="3" s="1"/>
  <c r="U152" i="3" s="1"/>
  <c r="S12" i="3"/>
  <c r="S10" i="3" s="1"/>
  <c r="S152" i="3" s="1"/>
  <c r="V10" i="3"/>
  <c r="X10" i="3" s="1"/>
  <c r="Z10" i="3" s="1"/>
  <c r="Z90" i="3" l="1"/>
  <c r="W54" i="3"/>
  <c r="Y54" i="3" s="1"/>
  <c r="AA54" i="3" s="1"/>
  <c r="O52" i="3"/>
  <c r="W52" i="3" s="1"/>
  <c r="Y52" i="3" s="1"/>
  <c r="AA52" i="3" s="1"/>
  <c r="O69" i="3"/>
  <c r="W69" i="3" s="1"/>
  <c r="Y69" i="3" s="1"/>
  <c r="AA69" i="3" s="1"/>
  <c r="W87" i="3"/>
  <c r="Y87" i="3" s="1"/>
  <c r="AA87" i="3" s="1"/>
  <c r="AA90" i="3" s="1"/>
  <c r="O85" i="3"/>
  <c r="W146" i="3"/>
  <c r="Y146" i="3" s="1"/>
  <c r="AA146" i="3" s="1"/>
  <c r="O145" i="3"/>
  <c r="W138" i="3"/>
  <c r="Y138" i="3" s="1"/>
  <c r="AA138" i="3" s="1"/>
  <c r="O137" i="3"/>
  <c r="W137" i="3" s="1"/>
  <c r="Y137" i="3" s="1"/>
  <c r="AA137" i="3" s="1"/>
  <c r="Z151" i="3"/>
  <c r="W62" i="3"/>
  <c r="Y62" i="3" s="1"/>
  <c r="AA62" i="3" s="1"/>
  <c r="O60" i="3"/>
  <c r="O59" i="3" s="1"/>
  <c r="W78" i="3"/>
  <c r="Y78" i="3" s="1"/>
  <c r="AA78" i="3" s="1"/>
  <c r="AA83" i="3" s="1"/>
  <c r="O76" i="3"/>
  <c r="O74" i="3" s="1"/>
  <c r="W103" i="3"/>
  <c r="Y103" i="3" s="1"/>
  <c r="AA103" i="3" s="1"/>
  <c r="O101" i="3"/>
  <c r="O92" i="3" s="1"/>
  <c r="W129" i="3"/>
  <c r="Y129" i="3" s="1"/>
  <c r="AA129" i="3" s="1"/>
  <c r="O128" i="3"/>
  <c r="W68" i="3"/>
  <c r="Y68" i="3" s="1"/>
  <c r="AA68" i="3" s="1"/>
  <c r="O66" i="3"/>
  <c r="O142" i="3"/>
  <c r="Z83" i="3"/>
  <c r="Z72" i="3"/>
  <c r="O46" i="3"/>
  <c r="W49" i="3"/>
  <c r="Y49" i="3" s="1"/>
  <c r="AA49" i="3" s="1"/>
  <c r="AA50" i="3" s="1"/>
  <c r="W30" i="3"/>
  <c r="Y30" i="3" s="1"/>
  <c r="AA30" i="3" s="1"/>
  <c r="AA31" i="3" s="1"/>
  <c r="O27" i="3"/>
  <c r="X105" i="3"/>
  <c r="Z105" i="3" s="1"/>
  <c r="W105" i="3"/>
  <c r="Y105" i="3" s="1"/>
  <c r="AA105" i="3" s="1"/>
  <c r="Y117" i="3"/>
  <c r="AA117" i="3" s="1"/>
  <c r="Y118" i="3"/>
  <c r="AA118" i="3" s="1"/>
  <c r="Y20" i="3"/>
  <c r="AA20" i="3" s="1"/>
  <c r="Z49" i="3"/>
  <c r="Z50" i="3" s="1"/>
  <c r="X20" i="3"/>
  <c r="Z20" i="3" s="1"/>
  <c r="W36" i="3"/>
  <c r="Y36" i="3" s="1"/>
  <c r="AA36" i="3" s="1"/>
  <c r="W34" i="3"/>
  <c r="Y34" i="3" s="1"/>
  <c r="AA34" i="3" s="1"/>
  <c r="X103" i="3"/>
  <c r="Z103" i="3" s="1"/>
  <c r="Z108" i="3" s="1"/>
  <c r="W71" i="3"/>
  <c r="Y71" i="3" s="1"/>
  <c r="AA71" i="3" s="1"/>
  <c r="W96" i="3"/>
  <c r="Y96" i="3" s="1"/>
  <c r="AA96" i="3" s="1"/>
  <c r="Z30" i="3"/>
  <c r="Z31" i="3" s="1"/>
  <c r="O19" i="3"/>
  <c r="W19" i="3" s="1"/>
  <c r="Y19" i="3" s="1"/>
  <c r="AA19" i="3" s="1"/>
  <c r="W33" i="3"/>
  <c r="Y33" i="3" s="1"/>
  <c r="AA33" i="3" s="1"/>
  <c r="W82" i="3"/>
  <c r="Y82" i="3" s="1"/>
  <c r="AA82" i="3" s="1"/>
  <c r="W118" i="3"/>
  <c r="W120" i="3"/>
  <c r="Y120" i="3" s="1"/>
  <c r="AA120" i="3" s="1"/>
  <c r="W128" i="3"/>
  <c r="Y128" i="3" s="1"/>
  <c r="AA128" i="3" s="1"/>
  <c r="W130" i="3"/>
  <c r="Y130" i="3" s="1"/>
  <c r="AA130" i="3" s="1"/>
  <c r="W145" i="3"/>
  <c r="Y145" i="3" s="1"/>
  <c r="AA145" i="3" s="1"/>
  <c r="W147" i="3"/>
  <c r="Y147" i="3" s="1"/>
  <c r="AA147" i="3" s="1"/>
  <c r="O12" i="3"/>
  <c r="O10" i="3" s="1"/>
  <c r="W40" i="3"/>
  <c r="Y40" i="3" s="1"/>
  <c r="AA40" i="3" s="1"/>
  <c r="W66" i="3"/>
  <c r="Y66" i="3" s="1"/>
  <c r="AA66" i="3" s="1"/>
  <c r="W127" i="3"/>
  <c r="Y127" i="3" s="1"/>
  <c r="AA127" i="3" s="1"/>
  <c r="O126" i="3"/>
  <c r="W126" i="3" s="1"/>
  <c r="Y126" i="3" s="1"/>
  <c r="AA126" i="3" s="1"/>
  <c r="W143" i="3"/>
  <c r="Y143" i="3" s="1"/>
  <c r="AA143" i="3" s="1"/>
  <c r="W142" i="3"/>
  <c r="Y142" i="3" s="1"/>
  <c r="AA142" i="3" s="1"/>
  <c r="W113" i="3"/>
  <c r="Y113" i="3" s="1"/>
  <c r="AA113" i="3" s="1"/>
  <c r="O112" i="3"/>
  <c r="O110" i="3" s="1"/>
  <c r="W139" i="3"/>
  <c r="Y139" i="3" s="1"/>
  <c r="AA139" i="3" s="1"/>
  <c r="V145" i="1"/>
  <c r="X145" i="1" s="1"/>
  <c r="V146" i="1"/>
  <c r="X146" i="1" s="1"/>
  <c r="V147" i="1"/>
  <c r="X147" i="1" s="1"/>
  <c r="V149" i="1"/>
  <c r="X149" i="1" s="1"/>
  <c r="V148" i="1"/>
  <c r="X148" i="1" s="1"/>
  <c r="V144" i="1"/>
  <c r="V141" i="1"/>
  <c r="V136" i="1"/>
  <c r="V127" i="1"/>
  <c r="V125" i="1"/>
  <c r="V123" i="1"/>
  <c r="X123" i="1" s="1"/>
  <c r="V122" i="1"/>
  <c r="X122" i="1" s="1"/>
  <c r="Z122" i="1" s="1"/>
  <c r="V118" i="1"/>
  <c r="V112" i="1"/>
  <c r="X112" i="1" s="1"/>
  <c r="Z112" i="1" s="1"/>
  <c r="V110" i="1"/>
  <c r="V69" i="1"/>
  <c r="X69" i="1" s="1"/>
  <c r="Z69" i="1" s="1"/>
  <c r="V68" i="1"/>
  <c r="X68" i="1" s="1"/>
  <c r="Z68" i="1" s="1"/>
  <c r="V66" i="1"/>
  <c r="X66" i="1" s="1"/>
  <c r="Z66" i="1" s="1"/>
  <c r="V64" i="1"/>
  <c r="X64" i="1" s="1"/>
  <c r="Z64" i="1" s="1"/>
  <c r="V63" i="1"/>
  <c r="X63" i="1" s="1"/>
  <c r="Z63" i="1" s="1"/>
  <c r="V62" i="1"/>
  <c r="X62" i="1" s="1"/>
  <c r="Z62" i="1" s="1"/>
  <c r="V56" i="1"/>
  <c r="X56" i="1" s="1"/>
  <c r="Z56" i="1" s="1"/>
  <c r="Z57" i="1" s="1"/>
  <c r="V54" i="1"/>
  <c r="X54" i="1" s="1"/>
  <c r="Z54" i="1" s="1"/>
  <c r="V52" i="1"/>
  <c r="X52" i="1" s="1"/>
  <c r="Z52" i="1" s="1"/>
  <c r="V49" i="1"/>
  <c r="X49" i="1" s="1"/>
  <c r="Z49" i="1" s="1"/>
  <c r="Z50" i="1" s="1"/>
  <c r="V46" i="1"/>
  <c r="X46" i="1" s="1"/>
  <c r="Z46" i="1" s="1"/>
  <c r="V44" i="1"/>
  <c r="X44" i="1" s="1"/>
  <c r="Z44" i="1" s="1"/>
  <c r="V40" i="1"/>
  <c r="X40" i="1" s="1"/>
  <c r="Z40" i="1" s="1"/>
  <c r="V38" i="1"/>
  <c r="X38" i="1" s="1"/>
  <c r="Z38" i="1" s="1"/>
  <c r="V36" i="1"/>
  <c r="X36" i="1" s="1"/>
  <c r="Z36" i="1" s="1"/>
  <c r="V34" i="1"/>
  <c r="X34" i="1"/>
  <c r="Z34" i="1" s="1"/>
  <c r="V33" i="1"/>
  <c r="X33" i="1" s="1"/>
  <c r="Z33" i="1" s="1"/>
  <c r="V22" i="1"/>
  <c r="X22" i="1" s="1"/>
  <c r="Z22" i="1" s="1"/>
  <c r="Z23" i="1" s="1"/>
  <c r="V20" i="1"/>
  <c r="X20" i="1" s="1"/>
  <c r="Z20" i="1" s="1"/>
  <c r="V19" i="1"/>
  <c r="X19" i="1" s="1"/>
  <c r="Z19" i="1" s="1"/>
  <c r="V16" i="1"/>
  <c r="X16" i="1" s="1"/>
  <c r="Z16" i="1" s="1"/>
  <c r="Z17" i="1" s="1"/>
  <c r="V12" i="1"/>
  <c r="X12" i="1" s="1"/>
  <c r="Z12" i="1" s="1"/>
  <c r="V10" i="1"/>
  <c r="X10" i="1" s="1"/>
  <c r="Z10" i="1" s="1"/>
  <c r="W76" i="3" l="1"/>
  <c r="Y76" i="3" s="1"/>
  <c r="AA76" i="3" s="1"/>
  <c r="O25" i="3"/>
  <c r="W25" i="3" s="1"/>
  <c r="Y25" i="3" s="1"/>
  <c r="AA25" i="3" s="1"/>
  <c r="W101" i="3"/>
  <c r="Y101" i="3" s="1"/>
  <c r="AA101" i="3" s="1"/>
  <c r="AA72" i="3"/>
  <c r="AA42" i="3"/>
  <c r="AA108" i="3"/>
  <c r="O44" i="3"/>
  <c r="O152" i="3" s="1"/>
  <c r="AA151" i="3"/>
  <c r="Z153" i="3"/>
  <c r="W46" i="3"/>
  <c r="Y46" i="3" s="1"/>
  <c r="AA46" i="3" s="1"/>
  <c r="W27" i="3"/>
  <c r="Y27" i="3" s="1"/>
  <c r="AA27" i="3" s="1"/>
  <c r="W92" i="3"/>
  <c r="Y92" i="3" s="1"/>
  <c r="AA92" i="3" s="1"/>
  <c r="Z42" i="1"/>
  <c r="W60" i="3"/>
  <c r="Y60" i="3" s="1"/>
  <c r="AA60" i="3" s="1"/>
  <c r="W59" i="3"/>
  <c r="Y59" i="3" s="1"/>
  <c r="AA59" i="3" s="1"/>
  <c r="W12" i="3"/>
  <c r="Y12" i="3" s="1"/>
  <c r="AA12" i="3" s="1"/>
  <c r="W112" i="3"/>
  <c r="Y112" i="3" s="1"/>
  <c r="AA112" i="3" s="1"/>
  <c r="W110" i="3"/>
  <c r="Y110" i="3" s="1"/>
  <c r="AA110" i="3" s="1"/>
  <c r="W85" i="3"/>
  <c r="Y85" i="3" s="1"/>
  <c r="AA85" i="3" s="1"/>
  <c r="W74" i="3"/>
  <c r="Y74" i="3" s="1"/>
  <c r="AA74" i="3" s="1"/>
  <c r="V131" i="1"/>
  <c r="X131" i="1" s="1"/>
  <c r="W99" i="1"/>
  <c r="Y99" i="1" s="1"/>
  <c r="AA99" i="1" s="1"/>
  <c r="V99" i="1"/>
  <c r="X99" i="1" s="1"/>
  <c r="Z99" i="1" s="1"/>
  <c r="V76" i="1"/>
  <c r="X76" i="1" s="1"/>
  <c r="V143" i="1"/>
  <c r="X143" i="1" s="1"/>
  <c r="V142" i="1"/>
  <c r="X142" i="1" s="1"/>
  <c r="V138" i="1"/>
  <c r="X138" i="1" s="1"/>
  <c r="V139" i="1"/>
  <c r="X139" i="1" s="1"/>
  <c r="V140" i="1"/>
  <c r="X140" i="1" s="1"/>
  <c r="V137" i="1"/>
  <c r="X137" i="1" s="1"/>
  <c r="V129" i="1"/>
  <c r="X129" i="1" s="1"/>
  <c r="V130" i="1"/>
  <c r="X130" i="1" s="1"/>
  <c r="V132" i="1"/>
  <c r="X132" i="1" s="1"/>
  <c r="V133" i="1"/>
  <c r="X133" i="1" s="1"/>
  <c r="V134" i="1"/>
  <c r="X134" i="1" s="1"/>
  <c r="V135" i="1"/>
  <c r="X135" i="1" s="1"/>
  <c r="V126" i="1"/>
  <c r="X126" i="1" s="1"/>
  <c r="V124" i="1"/>
  <c r="X124" i="1" s="1"/>
  <c r="V128" i="1"/>
  <c r="X128" i="1" s="1"/>
  <c r="V120" i="1"/>
  <c r="X120" i="1" s="1"/>
  <c r="V121" i="1"/>
  <c r="X121" i="1" s="1"/>
  <c r="V119" i="1"/>
  <c r="X119" i="1" s="1"/>
  <c r="V114" i="1"/>
  <c r="X114" i="1" s="1"/>
  <c r="V115" i="1"/>
  <c r="X115" i="1" s="1"/>
  <c r="V116" i="1"/>
  <c r="X116" i="1" s="1"/>
  <c r="V117" i="1"/>
  <c r="X117" i="1" s="1"/>
  <c r="V113" i="1"/>
  <c r="X113" i="1" s="1"/>
  <c r="V107" i="1"/>
  <c r="Z146" i="1"/>
  <c r="O99" i="1"/>
  <c r="O16" i="1"/>
  <c r="W16" i="1" s="1"/>
  <c r="Y16" i="1" s="1"/>
  <c r="AA16" i="1" s="1"/>
  <c r="AA17" i="1" s="1"/>
  <c r="W44" i="3" l="1"/>
  <c r="Y44" i="3" s="1"/>
  <c r="AA44" i="3" s="1"/>
  <c r="AA153" i="3"/>
  <c r="O12" i="1"/>
  <c r="O10" i="1"/>
  <c r="Y152" i="3"/>
  <c r="W10" i="3"/>
  <c r="Z137" i="1"/>
  <c r="Z138" i="1"/>
  <c r="Z139" i="1"/>
  <c r="Z140" i="1"/>
  <c r="Z141" i="1"/>
  <c r="Z142" i="1"/>
  <c r="Z143" i="1"/>
  <c r="Z144" i="1"/>
  <c r="Z145" i="1"/>
  <c r="Z147" i="1"/>
  <c r="Z148" i="1"/>
  <c r="Z149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23" i="1"/>
  <c r="Z120" i="1"/>
  <c r="Z121" i="1"/>
  <c r="Z119" i="1"/>
  <c r="AA118" i="1"/>
  <c r="Z118" i="1"/>
  <c r="Z117" i="1"/>
  <c r="Z114" i="1"/>
  <c r="Z115" i="1"/>
  <c r="Z116" i="1"/>
  <c r="Z113" i="1"/>
  <c r="O71" i="1"/>
  <c r="O69" i="1" s="1"/>
  <c r="W69" i="1" s="1"/>
  <c r="Y69" i="1" s="1"/>
  <c r="AA69" i="1" s="1"/>
  <c r="O119" i="1"/>
  <c r="O124" i="1"/>
  <c r="O126" i="1"/>
  <c r="O129" i="1"/>
  <c r="W129" i="1" s="1"/>
  <c r="Y129" i="1" s="1"/>
  <c r="AA129" i="1" s="1"/>
  <c r="O130" i="1"/>
  <c r="W130" i="1" s="1"/>
  <c r="Y130" i="1" s="1"/>
  <c r="AA130" i="1" s="1"/>
  <c r="O128" i="1"/>
  <c r="O133" i="1"/>
  <c r="W133" i="1" s="1"/>
  <c r="Y133" i="1" s="1"/>
  <c r="AA133" i="1" s="1"/>
  <c r="O132" i="1"/>
  <c r="W132" i="1" s="1"/>
  <c r="Y132" i="1" s="1"/>
  <c r="AA132" i="1" s="1"/>
  <c r="O138" i="1"/>
  <c r="W138" i="1" s="1"/>
  <c r="O139" i="1"/>
  <c r="W139" i="1" s="1"/>
  <c r="Y139" i="1" s="1"/>
  <c r="AA139" i="1" s="1"/>
  <c r="O140" i="1"/>
  <c r="W140" i="1" s="1"/>
  <c r="Y140" i="1" s="1"/>
  <c r="AA140" i="1" s="1"/>
  <c r="O137" i="1"/>
  <c r="O149" i="1"/>
  <c r="W149" i="1" s="1"/>
  <c r="Y149" i="1" s="1"/>
  <c r="O148" i="1"/>
  <c r="W148" i="1" s="1"/>
  <c r="Y148" i="1" s="1"/>
  <c r="AA148" i="1" s="1"/>
  <c r="O147" i="1"/>
  <c r="W147" i="1" s="1"/>
  <c r="Y147" i="1" s="1"/>
  <c r="AA147" i="1" s="1"/>
  <c r="O146" i="1"/>
  <c r="W146" i="1" s="1"/>
  <c r="Y146" i="1" s="1"/>
  <c r="AA146" i="1" s="1"/>
  <c r="O145" i="1"/>
  <c r="O143" i="1"/>
  <c r="W143" i="1" s="1"/>
  <c r="Y143" i="1" s="1"/>
  <c r="AA143" i="1" s="1"/>
  <c r="O142" i="1"/>
  <c r="O135" i="1"/>
  <c r="W135" i="1" s="1"/>
  <c r="Y135" i="1" s="1"/>
  <c r="AA135" i="1" s="1"/>
  <c r="O80" i="1"/>
  <c r="O62" i="1"/>
  <c r="O30" i="1"/>
  <c r="O27" i="1" s="1"/>
  <c r="O25" i="1" s="1"/>
  <c r="V30" i="1"/>
  <c r="X30" i="1" s="1"/>
  <c r="Z30" i="1" s="1"/>
  <c r="Z31" i="1" s="1"/>
  <c r="M46" i="1"/>
  <c r="M12" i="1"/>
  <c r="M10" i="1" s="1"/>
  <c r="Y138" i="1"/>
  <c r="AA138" i="1" s="1"/>
  <c r="AA149" i="1"/>
  <c r="M144" i="1"/>
  <c r="M141" i="1"/>
  <c r="M136" i="1"/>
  <c r="W30" i="1" l="1"/>
  <c r="Y30" i="1" s="1"/>
  <c r="AA30" i="1" s="1"/>
  <c r="AA31" i="1" s="1"/>
  <c r="W62" i="1"/>
  <c r="Y62" i="1" s="1"/>
  <c r="AA62" i="1" s="1"/>
  <c r="W128" i="1"/>
  <c r="Y128" i="1" s="1"/>
  <c r="AA128" i="1" s="1"/>
  <c r="W142" i="1"/>
  <c r="Y142" i="1" s="1"/>
  <c r="AA142" i="1" s="1"/>
  <c r="O141" i="1"/>
  <c r="W141" i="1" s="1"/>
  <c r="Y141" i="1" s="1"/>
  <c r="AA141" i="1" s="1"/>
  <c r="W126" i="1"/>
  <c r="Y126" i="1" s="1"/>
  <c r="AA126" i="1" s="1"/>
  <c r="O125" i="1"/>
  <c r="W125" i="1" s="1"/>
  <c r="Y125" i="1" s="1"/>
  <c r="AA125" i="1" s="1"/>
  <c r="W124" i="1"/>
  <c r="Y124" i="1" s="1"/>
  <c r="AA124" i="1" s="1"/>
  <c r="O123" i="1"/>
  <c r="W123" i="1" s="1"/>
  <c r="Y123" i="1" s="1"/>
  <c r="AA123" i="1" s="1"/>
  <c r="O144" i="1"/>
  <c r="W144" i="1" s="1"/>
  <c r="Y144" i="1" s="1"/>
  <c r="AA144" i="1" s="1"/>
  <c r="W145" i="1"/>
  <c r="Y145" i="1" s="1"/>
  <c r="AA145" i="1" s="1"/>
  <c r="W119" i="1"/>
  <c r="Y119" i="1" s="1"/>
  <c r="AA119" i="1" s="1"/>
  <c r="W137" i="1"/>
  <c r="Y137" i="1" s="1"/>
  <c r="AA137" i="1" s="1"/>
  <c r="O136" i="1"/>
  <c r="W136" i="1" s="1"/>
  <c r="W152" i="3"/>
  <c r="Y10" i="3"/>
  <c r="AA10" i="3" s="1"/>
  <c r="Z150" i="1"/>
  <c r="M60" i="1" l="1"/>
  <c r="M59" i="1" s="1"/>
  <c r="M27" i="1"/>
  <c r="M25" i="1" s="1"/>
  <c r="M44" i="1"/>
  <c r="M34" i="1"/>
  <c r="M33" i="1" s="1"/>
  <c r="O134" i="1"/>
  <c r="W134" i="1" s="1"/>
  <c r="Y134" i="1" s="1"/>
  <c r="AA134" i="1" s="1"/>
  <c r="O131" i="1"/>
  <c r="W131" i="1" l="1"/>
  <c r="Y131" i="1" s="1"/>
  <c r="AA131" i="1" s="1"/>
  <c r="O127" i="1"/>
  <c r="W127" i="1" s="1"/>
  <c r="Y127" i="1" s="1"/>
  <c r="AA127" i="1" s="1"/>
  <c r="X136" i="1"/>
  <c r="Z136" i="1" s="1"/>
  <c r="O120" i="1"/>
  <c r="O121" i="1"/>
  <c r="W121" i="1" s="1"/>
  <c r="Y121" i="1" s="1"/>
  <c r="AA121" i="1" s="1"/>
  <c r="O122" i="1"/>
  <c r="W122" i="1" s="1"/>
  <c r="Y122" i="1" s="1"/>
  <c r="AA122" i="1" s="1"/>
  <c r="O113" i="1"/>
  <c r="O117" i="1"/>
  <c r="W117" i="1" s="1"/>
  <c r="Y117" i="1" s="1"/>
  <c r="AA117" i="1" s="1"/>
  <c r="O114" i="1"/>
  <c r="W114" i="1" s="1"/>
  <c r="Y114" i="1" s="1"/>
  <c r="AA114" i="1" s="1"/>
  <c r="O115" i="1"/>
  <c r="W115" i="1" s="1"/>
  <c r="Y115" i="1" s="1"/>
  <c r="AA115" i="1" s="1"/>
  <c r="O116" i="1"/>
  <c r="W116" i="1" s="1"/>
  <c r="Y116" i="1" s="1"/>
  <c r="AA116" i="1" s="1"/>
  <c r="O96" i="1"/>
  <c r="O94" i="1" s="1"/>
  <c r="O87" i="1"/>
  <c r="O82" i="1"/>
  <c r="O49" i="1"/>
  <c r="O40" i="1"/>
  <c r="W40" i="1" s="1"/>
  <c r="Y40" i="1" s="1"/>
  <c r="AA40" i="1" s="1"/>
  <c r="O38" i="1"/>
  <c r="W38" i="1" s="1"/>
  <c r="Y38" i="1" s="1"/>
  <c r="AA38" i="1" s="1"/>
  <c r="O36" i="1"/>
  <c r="O22" i="1"/>
  <c r="U96" i="1"/>
  <c r="W49" i="1" l="1"/>
  <c r="Y49" i="1" s="1"/>
  <c r="AA49" i="1" s="1"/>
  <c r="AA50" i="1" s="1"/>
  <c r="O46" i="1"/>
  <c r="W113" i="1"/>
  <c r="Y113" i="1" s="1"/>
  <c r="AA113" i="1" s="1"/>
  <c r="O112" i="1"/>
  <c r="W120" i="1"/>
  <c r="Y120" i="1" s="1"/>
  <c r="AA120" i="1" s="1"/>
  <c r="O118" i="1"/>
  <c r="W118" i="1" s="1"/>
  <c r="W22" i="1"/>
  <c r="Y22" i="1" s="1"/>
  <c r="AA22" i="1" s="1"/>
  <c r="AA23" i="1" s="1"/>
  <c r="O20" i="1"/>
  <c r="W36" i="1"/>
  <c r="Y36" i="1" s="1"/>
  <c r="AA36" i="1" s="1"/>
  <c r="AA42" i="1" s="1"/>
  <c r="O34" i="1"/>
  <c r="M54" i="1"/>
  <c r="M52" i="1" s="1"/>
  <c r="U25" i="1"/>
  <c r="U12" i="1"/>
  <c r="W34" i="1" l="1"/>
  <c r="Y34" i="1" s="1"/>
  <c r="AA34" i="1" s="1"/>
  <c r="O33" i="1"/>
  <c r="W33" i="1" s="1"/>
  <c r="Y33" i="1" s="1"/>
  <c r="AA33" i="1" s="1"/>
  <c r="W20" i="1"/>
  <c r="Y20" i="1" s="1"/>
  <c r="AA20" i="1" s="1"/>
  <c r="O19" i="1"/>
  <c r="W19" i="1" s="1"/>
  <c r="Y19" i="1" s="1"/>
  <c r="AA19" i="1" s="1"/>
  <c r="O110" i="1"/>
  <c r="W110" i="1" s="1"/>
  <c r="W112" i="1"/>
  <c r="Y112" i="1" s="1"/>
  <c r="AA112" i="1" s="1"/>
  <c r="AA150" i="1"/>
  <c r="W46" i="1"/>
  <c r="Y46" i="1" s="1"/>
  <c r="AA46" i="1" s="1"/>
  <c r="O44" i="1"/>
  <c r="W44" i="1" s="1"/>
  <c r="Y44" i="1" s="1"/>
  <c r="AA44" i="1" s="1"/>
  <c r="Y136" i="1"/>
  <c r="AA136" i="1" s="1"/>
  <c r="U76" i="1"/>
  <c r="U74" i="1" s="1"/>
  <c r="M20" i="1"/>
  <c r="M19" i="1" s="1"/>
  <c r="M151" i="1" s="1"/>
  <c r="V25" i="1"/>
  <c r="W71" i="1"/>
  <c r="Y71" i="1" s="1"/>
  <c r="AA71" i="1" s="1"/>
  <c r="V71" i="1"/>
  <c r="X71" i="1" s="1"/>
  <c r="Z71" i="1" s="1"/>
  <c r="Z72" i="1" s="1"/>
  <c r="S76" i="1" l="1"/>
  <c r="S27" i="1"/>
  <c r="S25" i="1" s="1"/>
  <c r="S12" i="1"/>
  <c r="S10" i="1" s="1"/>
  <c r="V59" i="1" l="1"/>
  <c r="S74" i="1" l="1"/>
  <c r="Q27" i="1"/>
  <c r="Q25" i="1" s="1"/>
  <c r="Q76" i="1" l="1"/>
  <c r="Q12" i="1"/>
  <c r="Q10" i="1" l="1"/>
  <c r="W12" i="1"/>
  <c r="Y12" i="1" s="1"/>
  <c r="AA12" i="1" s="1"/>
  <c r="Q74" i="1"/>
  <c r="Q151" i="1" l="1"/>
  <c r="X110" i="1"/>
  <c r="Z110" i="1" s="1"/>
  <c r="X107" i="1"/>
  <c r="Z107" i="1" s="1"/>
  <c r="O107" i="1"/>
  <c r="V105" i="1"/>
  <c r="X105" i="1" s="1"/>
  <c r="Z105" i="1" s="1"/>
  <c r="O105" i="1"/>
  <c r="V103" i="1"/>
  <c r="X103" i="1" s="1"/>
  <c r="Z103" i="1" s="1"/>
  <c r="O103" i="1"/>
  <c r="W103" i="1" s="1"/>
  <c r="Y103" i="1" s="1"/>
  <c r="AA103" i="1" s="1"/>
  <c r="V101" i="1"/>
  <c r="X101" i="1" s="1"/>
  <c r="Z101" i="1" s="1"/>
  <c r="V96" i="1"/>
  <c r="X96" i="1" s="1"/>
  <c r="Z96" i="1" s="1"/>
  <c r="V94" i="1"/>
  <c r="X94" i="1" s="1"/>
  <c r="Z94" i="1" s="1"/>
  <c r="V92" i="1"/>
  <c r="X92" i="1" s="1"/>
  <c r="Z92" i="1" s="1"/>
  <c r="V89" i="1"/>
  <c r="X89" i="1" s="1"/>
  <c r="Z89" i="1" s="1"/>
  <c r="O89" i="1"/>
  <c r="V87" i="1"/>
  <c r="X87" i="1" s="1"/>
  <c r="Z87" i="1" s="1"/>
  <c r="Z90" i="1" s="1"/>
  <c r="W87" i="1"/>
  <c r="Y87" i="1" s="1"/>
  <c r="AA87" i="1" s="1"/>
  <c r="G86" i="1"/>
  <c r="V85" i="1"/>
  <c r="X85" i="1" s="1"/>
  <c r="Z85" i="1" s="1"/>
  <c r="V82" i="1"/>
  <c r="X82" i="1" s="1"/>
  <c r="Z82" i="1" s="1"/>
  <c r="W82" i="1"/>
  <c r="Y82" i="1" s="1"/>
  <c r="AA82" i="1" s="1"/>
  <c r="W81" i="1"/>
  <c r="V81" i="1"/>
  <c r="V80" i="1"/>
  <c r="W80" i="1"/>
  <c r="Y80" i="1" s="1"/>
  <c r="AA80" i="1" s="1"/>
  <c r="V78" i="1"/>
  <c r="X78" i="1" s="1"/>
  <c r="Z78" i="1" s="1"/>
  <c r="O78" i="1"/>
  <c r="Z76" i="1"/>
  <c r="V74" i="1"/>
  <c r="O68" i="1"/>
  <c r="O64" i="1"/>
  <c r="W64" i="1" s="1"/>
  <c r="Y64" i="1" s="1"/>
  <c r="AA64" i="1" s="1"/>
  <c r="O63" i="1"/>
  <c r="G61" i="1"/>
  <c r="V60" i="1"/>
  <c r="X60" i="1" s="1"/>
  <c r="Z60" i="1" s="1"/>
  <c r="X59" i="1"/>
  <c r="Z59" i="1" s="1"/>
  <c r="O56" i="1"/>
  <c r="U27" i="1"/>
  <c r="T27" i="1"/>
  <c r="V27" i="1" s="1"/>
  <c r="X27" i="1" s="1"/>
  <c r="Z27" i="1" s="1"/>
  <c r="X25" i="1"/>
  <c r="Z25" i="1" s="1"/>
  <c r="U10" i="1"/>
  <c r="W10" i="1" s="1"/>
  <c r="Y10" i="1" s="1"/>
  <c r="AA10" i="1" s="1"/>
  <c r="W89" i="1" l="1"/>
  <c r="Y89" i="1" s="1"/>
  <c r="AA89" i="1" s="1"/>
  <c r="O85" i="1"/>
  <c r="W85" i="1" s="1"/>
  <c r="Y85" i="1" s="1"/>
  <c r="AA85" i="1" s="1"/>
  <c r="W68" i="1"/>
  <c r="Y68" i="1" s="1"/>
  <c r="AA68" i="1" s="1"/>
  <c r="O66" i="1"/>
  <c r="W66" i="1" s="1"/>
  <c r="Y66" i="1" s="1"/>
  <c r="AA66" i="1" s="1"/>
  <c r="W56" i="1"/>
  <c r="Y56" i="1" s="1"/>
  <c r="AA56" i="1" s="1"/>
  <c r="AA57" i="1" s="1"/>
  <c r="O54" i="1"/>
  <c r="W63" i="1"/>
  <c r="Y63" i="1" s="1"/>
  <c r="AA63" i="1" s="1"/>
  <c r="AA72" i="1" s="1"/>
  <c r="O60" i="1"/>
  <c r="W60" i="1" s="1"/>
  <c r="Y60" i="1" s="1"/>
  <c r="AA60" i="1" s="1"/>
  <c r="W78" i="1"/>
  <c r="Y78" i="1" s="1"/>
  <c r="AA78" i="1" s="1"/>
  <c r="AA83" i="1" s="1"/>
  <c r="O76" i="1"/>
  <c r="X80" i="1"/>
  <c r="Z80" i="1" s="1"/>
  <c r="Z83" i="1" s="1"/>
  <c r="W105" i="1"/>
  <c r="Y105" i="1" s="1"/>
  <c r="AA105" i="1" s="1"/>
  <c r="W107" i="1"/>
  <c r="Y107" i="1" s="1"/>
  <c r="AA107" i="1" s="1"/>
  <c r="X74" i="1"/>
  <c r="Z74" i="1" s="1"/>
  <c r="Z108" i="1"/>
  <c r="AA90" i="1"/>
  <c r="Y110" i="1"/>
  <c r="AA110" i="1" s="1"/>
  <c r="W96" i="1"/>
  <c r="Y96" i="1" s="1"/>
  <c r="AA96" i="1" s="1"/>
  <c r="S151" i="1"/>
  <c r="U151" i="1"/>
  <c r="W27" i="1"/>
  <c r="Y27" i="1" s="1"/>
  <c r="AA27" i="1" s="1"/>
  <c r="W25" i="1"/>
  <c r="Y25" i="1" s="1"/>
  <c r="AA25" i="1" s="1"/>
  <c r="O101" i="1"/>
  <c r="W101" i="1" s="1"/>
  <c r="Y101" i="1" s="1"/>
  <c r="AA101" i="1" s="1"/>
  <c r="W54" i="1" l="1"/>
  <c r="Y54" i="1" s="1"/>
  <c r="AA54" i="1" s="1"/>
  <c r="O52" i="1"/>
  <c r="W52" i="1" s="1"/>
  <c r="Y52" i="1" s="1"/>
  <c r="AA52" i="1" s="1"/>
  <c r="AA108" i="1"/>
  <c r="AA152" i="1"/>
  <c r="Z152" i="1"/>
  <c r="Z153" i="1" s="1"/>
  <c r="O59" i="1"/>
  <c r="W59" i="1" s="1"/>
  <c r="Y59" i="1" s="1"/>
  <c r="AA59" i="1" s="1"/>
  <c r="W94" i="1"/>
  <c r="Y94" i="1" s="1"/>
  <c r="AA94" i="1" s="1"/>
  <c r="O92" i="1"/>
  <c r="W92" i="1" s="1"/>
  <c r="Y92" i="1" s="1"/>
  <c r="AA92" i="1" s="1"/>
  <c r="W76" i="1"/>
  <c r="Y76" i="1" s="1"/>
  <c r="AA76" i="1" s="1"/>
  <c r="O74" i="1"/>
  <c r="O151" i="1" l="1"/>
  <c r="AA153" i="1"/>
  <c r="W151" i="1"/>
  <c r="Y151" i="1"/>
  <c r="W74" i="1"/>
  <c r="Y74" i="1" s="1"/>
  <c r="AA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Diskopumker</author>
  </authors>
  <commentList>
    <comment ref="J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Diskopumker: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Diskopumker</author>
    <author>ACER</author>
  </authors>
  <commentList>
    <comment ref="J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Diskopumker: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0" authorId="1" shapeId="0" xr:uid="{00000000-0006-0000-0200-000002000000}">
      <text>
        <r>
          <rPr>
            <b/>
            <sz val="20"/>
            <color indexed="81"/>
            <rFont val="Tahoma"/>
            <family val="2"/>
          </rPr>
          <t>ACER:</t>
        </r>
        <r>
          <rPr>
            <sz val="20"/>
            <color indexed="81"/>
            <rFont val="Tahoma"/>
            <family val="2"/>
          </rPr>
          <t xml:space="preserve">
Pergeseran jadwal kegiatan ke triwulan III</t>
        </r>
      </text>
    </comment>
    <comment ref="P41" authorId="1" shapeId="0" xr:uid="{00000000-0006-0000-0200-000003000000}">
      <text>
        <r>
          <rPr>
            <b/>
            <sz val="20"/>
            <color indexed="81"/>
            <rFont val="Tahoma"/>
            <family val="2"/>
          </rPr>
          <t>ACER:
sub kegiatan dihapus karena tidak adanya dana DAK dari APBN</t>
        </r>
      </text>
    </comment>
    <comment ref="Z49" authorId="1" shapeId="0" xr:uid="{00000000-0006-0000-0200-000004000000}">
      <text>
        <r>
          <rPr>
            <b/>
            <sz val="26"/>
            <color indexed="81"/>
            <rFont val="Tahoma"/>
            <family val="2"/>
          </rPr>
          <t>Karena belum terisi data target akhir renstra tahun 2026 pada sub kegiatan baru tahun 2024</t>
        </r>
      </text>
    </comment>
    <comment ref="AA49" authorId="1" shapeId="0" xr:uid="{00000000-0006-0000-0200-000005000000}">
      <text>
        <r>
          <rPr>
            <b/>
            <sz val="24"/>
            <color indexed="81"/>
            <rFont val="Tahoma"/>
            <family val="2"/>
          </rPr>
          <t>Karena belum terisi data target akhir renstra tahun 2026 pada sub kegiatan baru tahun 2024</t>
        </r>
      </text>
    </comment>
    <comment ref="P54" authorId="1" shapeId="0" xr:uid="{00000000-0006-0000-0200-000006000000}">
      <text>
        <r>
          <rPr>
            <b/>
            <sz val="16"/>
            <color indexed="81"/>
            <rFont val="Tahoma"/>
            <family val="2"/>
          </rPr>
          <t>ACER:</t>
        </r>
        <r>
          <rPr>
            <sz val="16"/>
            <color indexed="81"/>
            <rFont val="Tahoma"/>
            <family val="2"/>
          </rPr>
          <t xml:space="preserve">
 Akan dilaksanakn kegiatan pada triwulan III</t>
        </r>
      </text>
    </comment>
    <comment ref="N62" authorId="1" shapeId="0" xr:uid="{00000000-0006-0000-0200-000007000000}">
      <text>
        <r>
          <rPr>
            <b/>
            <sz val="28"/>
            <color indexed="81"/>
            <rFont val="Tahoma"/>
            <family val="2"/>
          </rPr>
          <t xml:space="preserve">Kegiatan Belum Terealisasi, Pembayaran Honorarium Non ASN </t>
        </r>
      </text>
    </comment>
    <comment ref="P71" authorId="1" shapeId="0" xr:uid="{00000000-0006-0000-0200-000008000000}">
      <text>
        <r>
          <rPr>
            <b/>
            <sz val="20"/>
            <color indexed="81"/>
            <rFont val="Tahoma"/>
            <family val="2"/>
          </rPr>
          <t>ACER:</t>
        </r>
        <r>
          <rPr>
            <sz val="20"/>
            <color indexed="81"/>
            <rFont val="Tahoma"/>
            <family val="2"/>
          </rPr>
          <t xml:space="preserve">
dilaksanakan pada triwulan III</t>
        </r>
      </text>
    </comment>
    <comment ref="P99" authorId="1" shapeId="0" xr:uid="{00000000-0006-0000-0200-000009000000}">
      <text>
        <r>
          <rPr>
            <b/>
            <sz val="16"/>
            <color indexed="81"/>
            <rFont val="Tahoma"/>
            <family val="2"/>
          </rPr>
          <t>ACER:</t>
        </r>
        <r>
          <rPr>
            <sz val="16"/>
            <color indexed="81"/>
            <rFont val="Tahoma"/>
            <family val="2"/>
          </rPr>
          <t xml:space="preserve">
Hasil Laporan akan disajikan pada akhir tahun sebagai laporan tahunan </t>
        </r>
      </text>
    </comment>
    <comment ref="P103" authorId="1" shapeId="0" xr:uid="{00000000-0006-0000-0200-00000A000000}">
      <text>
        <r>
          <rPr>
            <b/>
            <sz val="22"/>
            <color indexed="81"/>
            <rFont val="Tahoma"/>
            <family val="2"/>
          </rPr>
          <t>ACER:</t>
        </r>
        <r>
          <rPr>
            <sz val="22"/>
            <color indexed="81"/>
            <rFont val="Tahoma"/>
            <family val="2"/>
          </rPr>
          <t xml:space="preserve">
kegiatan dilaksanakan pada triwulan III</t>
        </r>
      </text>
    </comment>
    <comment ref="P105" authorId="1" shapeId="0" xr:uid="{00000000-0006-0000-0200-00000B000000}">
      <text>
        <r>
          <rPr>
            <b/>
            <sz val="16"/>
            <color indexed="81"/>
            <rFont val="Tahoma"/>
            <family val="2"/>
          </rPr>
          <t>ACER:</t>
        </r>
        <r>
          <rPr>
            <sz val="16"/>
            <color indexed="81"/>
            <rFont val="Tahoma"/>
            <family val="2"/>
          </rPr>
          <t xml:space="preserve">
Kegiatan akan dilaksanakan pada triwulan IV</t>
        </r>
      </text>
    </comment>
    <comment ref="Z147" authorId="1" shapeId="0" xr:uid="{00000000-0006-0000-0200-00000C000000}">
      <text>
        <r>
          <rPr>
            <b/>
            <sz val="22"/>
            <color indexed="81"/>
            <rFont val="Tahoma"/>
            <family val="2"/>
          </rPr>
          <t>Belum Terisi Data Akhir Renstra Tahun 2026 di sub kegiatan baru tahun 2024</t>
        </r>
      </text>
    </comment>
    <comment ref="AA147" authorId="1" shapeId="0" xr:uid="{00000000-0006-0000-0200-00000D000000}">
      <text>
        <r>
          <rPr>
            <b/>
            <sz val="24"/>
            <color indexed="81"/>
            <rFont val="Tahoma"/>
            <family val="2"/>
          </rPr>
          <t>Belum Terisi Data Akhir Renstra Tahun 2026 di sub kegiatan baru tahun 2024</t>
        </r>
      </text>
    </comment>
  </commentList>
</comments>
</file>

<file path=xl/sharedStrings.xml><?xml version="1.0" encoding="utf-8"?>
<sst xmlns="http://schemas.openxmlformats.org/spreadsheetml/2006/main" count="1097" uniqueCount="302">
  <si>
    <t>No</t>
  </si>
  <si>
    <t>Sasaran</t>
  </si>
  <si>
    <t>Program/
Kegiatan/
Sub Kegiatan</t>
  </si>
  <si>
    <t>Indikator Kinerja</t>
  </si>
  <si>
    <t>Target Renstra PD 
Tahun 2026</t>
  </si>
  <si>
    <t>Realisasi Capaian Kinerja Renstra 
(n-2 = 
2021-2026)</t>
  </si>
  <si>
    <t>Realisasi Kinerja 
Pada Triwulan</t>
  </si>
  <si>
    <t>Realisasi Kinerja dan Anggaran Renstra Perangkat Daerah s/d Tahun 
2021-2026</t>
  </si>
  <si>
    <t>Tingkat Capaian Kinerja dan Realisasi Anggaran Renstra Perangkat Daerah Tahun 2021-2026 (%)</t>
  </si>
  <si>
    <t>Unit Perangkat Daerah Penanggung Jawab</t>
  </si>
  <si>
    <t>I</t>
  </si>
  <si>
    <t>II</t>
  </si>
  <si>
    <t>III</t>
  </si>
  <si>
    <t>IV</t>
  </si>
  <si>
    <t>13 = 6 + 12</t>
  </si>
  <si>
    <t>14 = 13/5x100%</t>
  </si>
  <si>
    <t>K</t>
  </si>
  <si>
    <t>Rp</t>
  </si>
  <si>
    <t>Meningkatnya kapasitas  kelembagaan Koperasi</t>
  </si>
  <si>
    <t>Persentase Koperasi Aktif yang Melaksanakan RAT</t>
  </si>
  <si>
    <t>%</t>
  </si>
  <si>
    <t>Persentase Koperasi Simpan Pinjam/Unit Simpan Pinjam yang terperiksa dan terawasi kegiatannya</t>
  </si>
  <si>
    <t>Kegiatan Pemeriksaan dan Pengawasan Koperasi, Koperasi Simpan Pinjam/Unit Simpan Pinjam Koperasi yang Wilayah Keanggotaannya dalam Daerah Kabupaten/Kota</t>
  </si>
  <si>
    <t>.Persentase Meningkatnya Koperasi  yang menjalankan kegiatannya sesuai dengan Aturan yang berlaku</t>
  </si>
  <si>
    <t>Persentase Koperasi  Simpan Pinjam/Unit Simpan Pinjam yang menjalankan kegiatannya sesuai dengan Aturan yang berlaku</t>
  </si>
  <si>
    <t>Sub Kegiatan Pengawasan Kekuatan, Kesehatan, Kemandirian, Ketangguhan, serta Akuntabilitas Koperasi Kewenangan Kabupaten / Kota</t>
  </si>
  <si>
    <t>Jumlah Dokumen Koperasi  yang termutahirkan Data dan Keragaannya</t>
  </si>
  <si>
    <t>Dokumen</t>
  </si>
  <si>
    <t xml:space="preserve">Sub Kegiatan Pemeriksaan Kepatuhan Koperasi terhadap Peraturan Perundang-Undangan Kewenangan Kabupaten/Kota </t>
  </si>
  <si>
    <t>Jumlah Koperasi/orang yang mengikuti Sosialisasi Peraturan dan Perundang-undangan koperasi</t>
  </si>
  <si>
    <t>koperasi</t>
  </si>
  <si>
    <t xml:space="preserve">Unit Usaha </t>
  </si>
  <si>
    <t>Jumlah Koperasi yang Memenuhi Peraturan Perundang-Undangan Kewenangan Kabupaten/Kota Kinerja</t>
  </si>
  <si>
    <t>Unit Usaha</t>
  </si>
  <si>
    <t>PROGRAM PENDIDIKAN DAN LATIHAN PERKOPERASIAN</t>
  </si>
  <si>
    <t>Persentase Koperasi Aktif</t>
  </si>
  <si>
    <t>Persentase Koperasi Aktif yang meningkat kinerjanya</t>
  </si>
  <si>
    <t>Kegiatan Pendidikan dan Latihan Perkoperasian Bagi Koperasi yang Wilayah Keanggotaan dalam Daerah Kabupaten/Kota</t>
  </si>
  <si>
    <t>Persentase Meningkatnya Kapasitas SDM Pengurus, Pengelola, pengawas dan anggota  Koperasi</t>
  </si>
  <si>
    <t>Sub Kegiatan Peningkatan Pemahaman dan Pengetahuan Perkoperasian Serta Kapasitas dan Kompetensi SDM Koperasi</t>
  </si>
  <si>
    <t>Jumlah SDM Koperasi/Orang yang mengikuti pendidikan dan pelatihan</t>
  </si>
  <si>
    <t>Orang</t>
  </si>
  <si>
    <t>Koperasi</t>
  </si>
  <si>
    <t>PROGRAM PEMBERDAYAAN DAN PERLINDUNGAN KOPERASI</t>
  </si>
  <si>
    <t>Persentase Koperasi yang mengelola Usahanya secara profesional</t>
  </si>
  <si>
    <t>Persentase koperasi yang diberikan dukungan fasilitasi pembiayaan, pemasaran, pendampingan kelembagaan dan usaha, dan kemitraan untuk koperasi dengan wilayah keanggotaan dalam daerah kabupaten/kota (%)</t>
  </si>
  <si>
    <t>Kegiatan Pemberdayaan dan Perlindungan Koperasi yang Keanggotaannya dalam Daerah Kabupaten/Kota</t>
  </si>
  <si>
    <t>Persentase Koperasi yang berkembang usahanya</t>
  </si>
  <si>
    <t>Persentase Koperasi yang dibina Usaha, Pemasaran, Akses Pembiayaan, Penguatan Kelembagaan, Penataan Manajemen, Standarisasi dan Restrukturisasi Usaha Koperasi</t>
  </si>
  <si>
    <t>Sub Kegiatan Pemberdayaan Peningkatan Produktivitas, Nilai Tambah, Akses Pasar, Akses Pembiayaan, Penguatan Kelembagaan, Penataan Manajemen, Standarisasi, dan
Restrukturisasi Usaha Koperasi Kewenangan Kabupaten/Kota</t>
  </si>
  <si>
    <t>Jumlah Koperasi yang mengikuti Sosialisasi</t>
  </si>
  <si>
    <t>Jumlah SDM yang Memahami Pengetahuan UKM dan Kewirausahaan</t>
  </si>
  <si>
    <t>Meningkatnya Wirausaha yang Mandiri</t>
  </si>
  <si>
    <t>PROGRAM PEMBERDAYAAN USAHA MENENGAH, USAHA KECIL DAN USAHA MIKRO (UMKM)</t>
  </si>
  <si>
    <t>Persentase Usaha Mikro  menjadi usaha kecil</t>
  </si>
  <si>
    <t>Persentase Usaha Mikro yang telah mendapatkan Fasiliitasi Program Pemberdayaan</t>
  </si>
  <si>
    <t>Kegiatan Pemberdayaan Usaha Mikro yang Dilakukan melalui Pendataan, Kemitraan, Kemudahan Perizinan, Penguatan Kelembagaan dan Koordinasi dengan Para Pemangku Kepentingan</t>
  </si>
  <si>
    <t>Jumlah Usaha Mikro yang berkembang usahanya</t>
  </si>
  <si>
    <t>Usaha Mikro</t>
  </si>
  <si>
    <t>Sub Kegiatan Pemberdayaan melalui Kemitraan Usaha Mikro</t>
  </si>
  <si>
    <t>Jumlah Usaha Mikro yang bermitra</t>
  </si>
  <si>
    <t>umkm</t>
  </si>
  <si>
    <t>Jumlah  Unit  Usaha  yang  Telah  Melaksanakan Kemitraan Usaha Mikro</t>
  </si>
  <si>
    <t>Sub Kegiatan Fasilitasi Kemudahan Perizinan Usaha Mikro</t>
  </si>
  <si>
    <t>Jumlah usaha mikro yang terfasilitasi perizinannya</t>
  </si>
  <si>
    <t>Jumlah  Usaha  Mikro  yang  Telah  Mendapatkan Perizinan</t>
  </si>
  <si>
    <t>Sub Kegiatan Pemberdayaan Kelembagaan Potensi dan Pengembangan Usaha Mikro</t>
  </si>
  <si>
    <t>Jumlah pembinaan dan pengembangan Usaha Mikro</t>
  </si>
  <si>
    <t>Sub Kegiatan Peningkatan Pemahaman dan  Pengetahuan Usaha Mikro serta Kapasitas dan Kompetensi SDM Usaha Mikro dan Kewirausahaan</t>
  </si>
  <si>
    <t>Jumlah   SDM   yang   Memahami   Pengetahuan Usaha Mikro dan Kewirausahaan</t>
  </si>
  <si>
    <t>PROGRAM PENGEMBANGAN UMKM</t>
  </si>
  <si>
    <t>Persentase skala usaha mikro menjadi usaha kecil</t>
  </si>
  <si>
    <t>Pertumbuhan Usaha Mikro menjadi Usaha Kecil</t>
  </si>
  <si>
    <t>Kegiatan Pengembangan Usaha Mikro dengan Orientasi Peningkatan Skala Usaha Menjadi Usaha Kecil</t>
  </si>
  <si>
    <t>Meningkatnya orientasi skala usaha mikro menjadi usaha kecil</t>
  </si>
  <si>
    <t>Jumlah usaha mikro menjadi usaha kecil</t>
  </si>
  <si>
    <t xml:space="preserve">Usaha Mikro        </t>
  </si>
  <si>
    <t>Sub Kegiatan Fasilitasi Usaha Mikro menjadi Usaha Kecil dalam Pengembangan Produksi dan Pengolahan, Pemasaran, SDM, serta, Desain dan Teknologi</t>
  </si>
  <si>
    <t xml:space="preserve">Jumlah usaha mikro yang terfasilitasi </t>
  </si>
  <si>
    <t xml:space="preserve"> Usaha Mikro</t>
  </si>
  <si>
    <t>Jumlah Unit Usaha Mikro  yang  Terfasilitasi dalam Pengembangan Produksi dan Pengolahan, Pemasaran, SDM, serta Desain dan Teknologi</t>
  </si>
  <si>
    <t xml:space="preserve">Meningkatnya Pencari Kerja Terdaftar yang ditempatkan </t>
  </si>
  <si>
    <t>PROGRAM PERENCANAAN TENAGA KERJA</t>
  </si>
  <si>
    <t>Persentase Terpenuhinya Penunjang Urusan Tenaga Kerja</t>
  </si>
  <si>
    <t>Persentase kegiatan yang dilaksanakan mengacu ke rencana tenaga kerja (%)</t>
  </si>
  <si>
    <t>Kegiatan Penyusunan Rencana Tenaga Kerja (RTK)</t>
  </si>
  <si>
    <t>Tersedianya Dokumen Perencanaan Tenaga Kerja</t>
  </si>
  <si>
    <t>Jumlah Dokumen Perencananaan Tenaga Kerja</t>
  </si>
  <si>
    <t>dokumen</t>
  </si>
  <si>
    <t>Sub Kegiatan Penyusunan Rencana Tenaga Kerja Makro</t>
  </si>
  <si>
    <t xml:space="preserve">Jumlah Dokumen Rencana Tenaga Kerja Makro </t>
  </si>
  <si>
    <t>Sub Kegiatan Penyusunan Rencana Tenaga Kerja Mikro</t>
  </si>
  <si>
    <t>Jumlah Perusahaan yang Menyusun RTK Mikro</t>
  </si>
  <si>
    <t>Perusahaan</t>
  </si>
  <si>
    <t>PROGRAM PELATIHAN KERJA DAN PRODUKTIVITAS TENAGA KERJA</t>
  </si>
  <si>
    <t>Persentase Penyerapan Tenaga Kerja</t>
  </si>
  <si>
    <t>Persentase Tenaga Kerja Yang Memiliki Sertifikat Kompetensi (%)</t>
  </si>
  <si>
    <t>Kegiatan Pelaksanaan Pelatihan Berdasarkan Kompetensi</t>
  </si>
  <si>
    <t>Persentasi Pencari Kerja Yang Memiliki Keterampilan Kerja</t>
  </si>
  <si>
    <t>Sub Kegiatan Proses Pelaksanaan Pendidikan dan Pelatihan bagi Pencari Kerja berdasarkan Klaster Kompetensi</t>
  </si>
  <si>
    <t>Jumlah Tenaga Kerja yang mendapat pelatihan berbasis Kompetensi dan Pelatihan Pemagangan dalam Negeri</t>
  </si>
  <si>
    <t>Org</t>
  </si>
  <si>
    <t>Jumlah  Tenaga  Kerja  yang  Mendapat  Pelatihan Berbasis Kompetensi pada Tahun n</t>
  </si>
  <si>
    <t>Sub Kegiatan Koordinasi Lintas Lembaga dan Kerjasama dengan Sektor Swasta untuk Penyediaan Instruktur serta Sarana Dan Prasarana Lembaga Pelatihan Kerja</t>
  </si>
  <si>
    <t>Jumlah Kesepakatan/Koordinasi dalam rangka Optimalisasi Kapasitas Instruktur dan Peningkatan Sarana Prasarana Pelatihan Vokasi dan Produktivitas pada Tahun n</t>
  </si>
  <si>
    <t xml:space="preserve">Lembaga </t>
  </si>
  <si>
    <t>Lembaga</t>
  </si>
  <si>
    <t>Sub Kegiatan Pengadaan Sarana Pelatihan Kerja Kab/Kota</t>
  </si>
  <si>
    <t>Jumlah  Pengadaan  dan  Pemeliharaan  Sarana
Pelatihan Kerja</t>
  </si>
  <si>
    <t xml:space="preserve">Unit </t>
  </si>
  <si>
    <t>Unit</t>
  </si>
  <si>
    <t>Kegiatan Pembinaan Lembaga Pelatihan Kerja Swasta</t>
  </si>
  <si>
    <t>Persentase LPKS yang memahami persyaratan akreditasi</t>
  </si>
  <si>
    <t>Sub Kegiatan Pembinaan Lembaga Pelatihan Kerja Swasta</t>
  </si>
  <si>
    <t>Jumlah LPKS yang mengikuti Bimtek</t>
  </si>
  <si>
    <t>LPKS</t>
  </si>
  <si>
    <t>Jumlah  Lembaga  Pelatihan Kerja Swasta  yang Dibina</t>
  </si>
  <si>
    <t>Kegiatan Pengukuran Produktivitas Tingkat Daerah Kabupaten/Kota</t>
  </si>
  <si>
    <t>Persentase Peningkatan Produktivitas bagi Tenaga Kerja</t>
  </si>
  <si>
    <t>Sub Kegiatan Pengukuran Kompetensi dan Produktivitas Tenaga Kerja</t>
  </si>
  <si>
    <t>Jumlah Pekerja yang meningkat Produktivitasnya</t>
  </si>
  <si>
    <t>PROGRAM PENEMPATAN TENAGA KERJA</t>
  </si>
  <si>
    <t>Persentase Jumlah Pencari Kerja yang ditempatkan</t>
  </si>
  <si>
    <t>Persentase Tenaga Kerja Yang ditempatkan (Dalam dan Luar Negeri) Melalui Mekanisme Layanan antar Kerja dalam Wilayah Kota (%)</t>
  </si>
  <si>
    <t>Kegiatan Pelayanan Antarkerja di Daerah Kabupaten/Kota</t>
  </si>
  <si>
    <t>Persentase Pencari kerja yang memahami Penempatan Tenaga Kerja</t>
  </si>
  <si>
    <t>Persentase Penyerapam Tenaga Kerja di Sektor Formal</t>
  </si>
  <si>
    <t>Sub Kegiatan Pelayanan antar Kerja</t>
  </si>
  <si>
    <t>Jumlah SMK yang tersosialisasi Bursa kerja Khusus (BKK)</t>
  </si>
  <si>
    <t>SMK</t>
  </si>
  <si>
    <t>Jumlah Tenaga Kerja yang Ditempatkan Melalui
Layanan AKAD dan AKL</t>
  </si>
  <si>
    <t>Sub Kegiatan Penyuluhan dan Bimbingan Jabatan bagi Pencari Kerja</t>
  </si>
  <si>
    <t>Jumlah siswa yang memahami Bimbingan Jabatan Pencaker</t>
  </si>
  <si>
    <t xml:space="preserve"> Org</t>
  </si>
  <si>
    <t>Jumlah    Pencari    Kerja    yang    Mendapatkan
Penyuluhan dan Bimbingan Jabatan</t>
  </si>
  <si>
    <t>Sub Kegiatan Perluasan Kesempatan Kerja</t>
  </si>
  <si>
    <t>Jumlah Pencari Kerja yang Mengikuti Pemagangan Dalam Negeri Formal dan informal</t>
  </si>
  <si>
    <t xml:space="preserve"> org</t>
  </si>
  <si>
    <t>Jumlah Tenaga Kerja yang Diberdayakan Melalui program Perluasan Kesempatan Kerja</t>
  </si>
  <si>
    <t>Kegiatan Pengeloaan Informasi Pasar Kerja</t>
  </si>
  <si>
    <t xml:space="preserve">Persentase Peningkatan Penyerapan Tenaga Kerja di sektor formal    </t>
  </si>
  <si>
    <t>Audit Sertifikasi Iso</t>
  </si>
  <si>
    <t>Sertifikat ISO</t>
  </si>
  <si>
    <t>Sub Kegiatan  Pelayanan dan Penyediaan Informasi Pasar Kerja Online</t>
  </si>
  <si>
    <t>Jumlah    Pencari    dan    Pemberi    Kerja    yang Terdaftar   dalam   Pasar   Kerja   Melalui   Sistem Online (Karir Hub)</t>
  </si>
  <si>
    <t>orang</t>
  </si>
  <si>
    <t>Sub Kegiatan Job Fair/Bursa Kerja</t>
  </si>
  <si>
    <t>Jumlah Tenaga Kerja yang ditempatkan di dalam negeri</t>
  </si>
  <si>
    <t xml:space="preserve"> 0rg</t>
  </si>
  <si>
    <t>Jumlah    Pencari    Kerja    yang    Mendapatkan
Pekerjaan Melalui Job Fair /Bursa Kerja</t>
  </si>
  <si>
    <t>Meningkatnya Perusahaan yang menerapkan tata kelola kerja yang layak (PP/PKB, LKS Bipartit, Struktur Skala upah dan Pendaftar Peserta BPJS Ketenagakerjaan)</t>
  </si>
  <si>
    <t>PROGRAM HUBUNGAN INDUSTRIAL</t>
  </si>
  <si>
    <t>Persentase Kasus yang Diselesaikan</t>
  </si>
  <si>
    <t>Persentase Perusahaan yang menerapkan tata kelola kerja yang layak (PP/PKB, LKS Bipartit, Struktur Skala Upah, dan terdaftar peserta BPJS Ketenagakerjaan (%)</t>
  </si>
  <si>
    <t>Kegiatan Pengesahan Peraturan Perusahaan dan Pendaftaran Perjanjian Kerja Bersama untuk Perusahaan yang hanya Beroperasi dalam 1 (satu) Daerah Kabupaten/Kota</t>
  </si>
  <si>
    <t>Persentase Perusahaan yang menerapkan tata kelola kerja yang layak (PP/PKB, LKS Bipartit, Struktur Skala Upah, danterdaftar peserta BPJS Ketenagakerjaan</t>
  </si>
  <si>
    <t>Persentase Perusahaan yang menerapkan dan melaksanakan Sarana Hubungan Industrial</t>
  </si>
  <si>
    <t>Sub Kegiatan Pendaftaran Perjanjian Kerjasama bagi Perusahaan</t>
  </si>
  <si>
    <t>Jumlah pengusaha/pekerja yang memahami pentingnya PP/PKB serta mengetahui bagaimana tata cara pembuatan PP/PKB</t>
  </si>
  <si>
    <t>Pekerja</t>
  </si>
  <si>
    <t>Pekerja/Perusahaan</t>
  </si>
  <si>
    <t>Jumlah  Perusahaan  yang  Menyusun  Perjanjian Kerja Bersama</t>
  </si>
  <si>
    <t>Sub Kegiatan Penyelenggaraan Pendataan dan Informasi Sarana Hubungan Industrial dan jaminan sosial Tenaga Kerja serta pengupahan</t>
  </si>
  <si>
    <t>Jumlah pengusaha/pekerja yang memahami struktur skala upah dan Jaminan Sosial</t>
  </si>
  <si>
    <t>Penyelenggaraan Verifikasi dan Rekapitulasi Keanggotaan pada Organisasi Pengusaha, Federasi dan Konfederasi Serikat Pekerja/Serikat Buruh serta Non Afiliasi</t>
  </si>
  <si>
    <t>Asosiasi dan Serikat Pekerja</t>
  </si>
  <si>
    <t>Kegiatan Pencegahan dan Penyelesaian Perselisihan Hubungan Industrial, Mogok Kerja dan Penutupan Perusahaan di Daerah Kabupaten/Kota</t>
  </si>
  <si>
    <t xml:space="preserve">Persentase Pekerja/Pengusaha yang memahami perselisihan PHI/PHK </t>
  </si>
  <si>
    <t xml:space="preserve">Persentase penurunan perselisihan hubungan industrial </t>
  </si>
  <si>
    <t>Sub Kegiatan Pencegahan Perselisihan Hubungan Industrial, Mogok Kerja, dan Penutupan Perusahaan yang Berakibat/Berdampak pada Kepentingan di 1 (satu) Daerah Kabupaten/Kota</t>
  </si>
  <si>
    <t xml:space="preserve">Jumlah Pekerja/Pengusaha yang memahami cara pencegahan PHI/PHK di luar dan di dalam pengadilan HI </t>
  </si>
  <si>
    <t>Pekerja/Pengusah</t>
  </si>
  <si>
    <t>Jumlah Perselisihan yang Dicegah</t>
  </si>
  <si>
    <t>Perkara</t>
  </si>
  <si>
    <t>Sub Kegiatan Penyelenggaraan Verifikasi dan Rekapitulasi Keanggotaan pada Organisasi Pengusaha, Federasi dan Konfederasi Serikat Pekerja/Serikat Buruh serta Non Afiliasi</t>
  </si>
  <si>
    <t>Jumlah Anggota Serikat Pekerja/serikat Buruh yang telah terverifikasi</t>
  </si>
  <si>
    <t>Serikat Pekerja/Serikat Buruh</t>
  </si>
  <si>
    <t>Serikat Pekerja/Serkat Buruh</t>
  </si>
  <si>
    <t>Jumlah Asosiasi Pengusaha dan Serikat Pekerja yang Diverifikasi</t>
  </si>
  <si>
    <t>Sub Kegiatan Pelaksanaan Operasional Lembaga Kerjasama Tripartit Daerah Kabupaten/Kota</t>
  </si>
  <si>
    <t>Jumlah Rekomendasi  bahan pertimbangan saran terkait penyusunan kebijakan dalam mencegah permasalahan ketenagakerjaan</t>
  </si>
  <si>
    <t>Laporan</t>
  </si>
  <si>
    <t>Jumlah LKS Tripartit yang Dibina</t>
  </si>
  <si>
    <t xml:space="preserve">Meningkatnya Nilai Akuntabilitas Kinerja Dinas Koperasi, Usaha Mikro dan Tenaga Kerja </t>
  </si>
  <si>
    <t>PROGRAM PENUNJANG URUSAN PEMERINTAHAN DAERAH</t>
  </si>
  <si>
    <t>Persentase Terpenuhinya Penunjang Urusan Pemerintah Daerah</t>
  </si>
  <si>
    <t>Tingkat Kepuasan Pegawai terhadap layanan administrasi Kesekretariatan (kategori)</t>
  </si>
  <si>
    <t>Kategori</t>
  </si>
  <si>
    <t>Tingkat kualitas perencanaan perangkat daerah (kategori)</t>
  </si>
  <si>
    <t>Kegiatan Pengadaan Barang Milik Daerah Penunjang Urusan Pemerintah Daerah</t>
  </si>
  <si>
    <t>Terpenuhinya barang milik daerah penunjang urusan pemerintah daerah</t>
  </si>
  <si>
    <t>Sub Kegiatan Pengadaan Gedung Kantor atau Bangunan Lainnya</t>
  </si>
  <si>
    <t>Paket</t>
  </si>
  <si>
    <t xml:space="preserve">Paket </t>
  </si>
  <si>
    <t>JUMLAH  ANGGARAN DAN REALISASI  DARI SELURUH PROGRAM TAHUN 2023</t>
  </si>
  <si>
    <t>TOTAL  RATA-RATA  CAPAIAN  KINERJA  DARI  SELURUH  PROGRAM  DAN  ANGGARAN  (Program 1 s.d  Program 10)</t>
  </si>
  <si>
    <t>PREDIKAT KINERJA  DARI SELURUH  PROGRAM  (Program  1  s.d Program 10)</t>
  </si>
  <si>
    <t>=</t>
  </si>
  <si>
    <t xml:space="preserve">Menggunakan Data RKPD - Renja 2023 Hasil Pemutakhiran </t>
  </si>
  <si>
    <t>Disusun</t>
  </si>
  <si>
    <t>Menggunakan Data RPJMD-Renstra 2021-2026</t>
  </si>
  <si>
    <t xml:space="preserve">Memerlukan pemetaan atau penghitungan terkait dengan pagu per indikator </t>
  </si>
  <si>
    <t>Kepala  Dinas Koperasi Usaha Mikro dan Tenaga Kerja  Kota  Banjarmasin</t>
  </si>
  <si>
    <t>H. MUHAMMAD ISA ANSARI, SE., M. AP</t>
  </si>
  <si>
    <t>NIP. 19680111 199303 1 006</t>
  </si>
  <si>
    <t>Jumlah SDM yang Memahami Pengetahuan Perkoperasian</t>
  </si>
  <si>
    <t>Jumlah   Unit   Usaha   yang   Telah   Menerima Pembinaan  dan Pendampingan  Terhadap Usaha Mikro</t>
  </si>
  <si>
    <t>Jumlah  Dokumen        Hasil  Pengukuran Produktivitas  dan  Daya  Saing  Tenaga  Kerja  di Tingkat Daerah</t>
  </si>
  <si>
    <t>Banjarmasin,      Desember   2023</t>
  </si>
  <si>
    <r>
      <t xml:space="preserve">Renja Perangkat Daerah Dinas Koperasi, Usaha Mikro dan Tenaga Kerja  Kota </t>
    </r>
    <r>
      <rPr>
        <b/>
        <sz val="28"/>
        <rFont val="Bookman Old Style"/>
        <family val="1"/>
      </rPr>
      <t>Banjarmasin</t>
    </r>
  </si>
  <si>
    <t>Evaluasi Terhadap Hasil Renja  Triwulan I Perangkat Daerah Lingkup Kabupaten/Kota</t>
  </si>
  <si>
    <r>
      <t>Periode Pelaksanaan 2021-2026</t>
    </r>
    <r>
      <rPr>
        <b/>
        <sz val="28"/>
        <color rgb="FFFF0000"/>
        <rFont val="Bookman Old Style"/>
        <family val="1"/>
      </rPr>
      <t xml:space="preserve"> (n = 2024)</t>
    </r>
  </si>
  <si>
    <t>Target Kinerja dan Anggaran Renja Perangkat Daerah Tahun 
(n = 2024)</t>
  </si>
  <si>
    <t>Realisasi Capaian Kinerja dan Anggaran Renja Perangkat Daerah
Tahun 2024</t>
  </si>
  <si>
    <t>Jumlah Unit Usaha yang Produktif, Bernilai Tambah, Memiliki Akses Pasar, Akses Pembiayaan, Penguatan Kelembagaan, Penataan Manajemen, Standarisasi, dan Restrukturisasi Usaha</t>
  </si>
  <si>
    <t>Sub Kegiatan Pengembangan Usaha Mikro</t>
  </si>
  <si>
    <t>Jumlah Usaha Mikro menjadi usaha kecil</t>
  </si>
  <si>
    <t>Jumlah Data dan Informasi Sarana HI (PP/PKB, Struktur Skala Upah, dan LKS Bipartit) dan Pekerja yang Terdaftar sebagai peserta Jamsostek serta Pengupahan</t>
  </si>
  <si>
    <t>Kegiatan Perencanaan, Penganggaran, dan Evaluasi Kinerja Perangkat Daerah</t>
  </si>
  <si>
    <t>Cakupan ketersediaan dokumen perencanaan, penganggaran, dan evaluasi kinerja perangkat daerah yang sesuai ketentuan</t>
  </si>
  <si>
    <t>Sub Kegiatan Penyusunan Dokumen Perencanaan Perangkat Daerah</t>
  </si>
  <si>
    <t>Jumlah Dokumen Perencanaan Perangkat Daerah</t>
  </si>
  <si>
    <t>Sub Kegiatan Koordinasi dan Penyusunan Dokumen RKA-SKPD</t>
  </si>
  <si>
    <t>Jumlah Dokumen RKA-SKPD dan Laporan Hasil Koordinasi Penyusunan Dokumen RKA-SKPD</t>
  </si>
  <si>
    <t>Sub Kegiatan Koordinasi dan Penyusunan Dokumen Perubahan RKA-SKPD</t>
  </si>
  <si>
    <t>Jumlah Dokumen Perubahan RKA-SKPD dan Laporan Hasil Koordinasi Penyusunan Dokumen Perubahan RKA-SKPD</t>
  </si>
  <si>
    <t>Sub Kegiatan Koordinasi dan Penyusunan Laporan Capaian Kinerja dan Ikhtisar Realisasi Kinerja SKPD</t>
  </si>
  <si>
    <t>Jumlah Laporan Capaian Kinerja dan Ikhtisar Realisasi Kinerja SKPD dan Laporan Hasil Koordinasi Penyusunan Laporan Capaian Kinerja dan Ikhtisar Realisasi Kinerja SKPD</t>
  </si>
  <si>
    <t>Sub Kegiatan Evaluasi Kinerja Perangkat Daerah</t>
  </si>
  <si>
    <t>Jumlah Laporan Evaluasi Kinerja Perangkat Daerah</t>
  </si>
  <si>
    <t>Kegiatan Administrasi Keuangan Perangkat Daerah</t>
  </si>
  <si>
    <t>Cakupan Dokumen Penatausahaan Keuangan yang lengkap dan sesuai ketentuan</t>
  </si>
  <si>
    <t>Sub Kegiatan Pelaksanaan Penatausahaan dan Pengujian/Verifikasi Keuangan SKPD</t>
  </si>
  <si>
    <t>Sub Kegiatan Koordinasi dan Penyusunan Laporan Keuangan Akhir Tahun SKPD</t>
  </si>
  <si>
    <t>Sub Kegiatan Pengelolaan dan Penyiapan Bahan Tanggapan Pemeriksaan</t>
  </si>
  <si>
    <t>Sub Kegiatan Koordinasi dan Penyusunan Laporan Keuangan Bulanan/Triwulanan/Semesteran SKPD</t>
  </si>
  <si>
    <t>Jumlah Dokumen Penatausahaan dan Pengujian/Verifikasi Keuangan SKPD</t>
  </si>
  <si>
    <t>Jumlah Laporan Keuangan Akhir Tahun SKPD dan Laporan Hasil Koordinasi Penyusunan Laporan Keuangan Akhir Tahun SKPD</t>
  </si>
  <si>
    <t>Jumlah Dokumen Bahan Tanggapan Pemeriksaan dan Tindak Lanjut Pemeriksaan</t>
  </si>
  <si>
    <t>Jumlah Laporan Bulanan/Triwulanan/Semesteran SKPD dan Laporan Koordinasi Penyusunan Laporan Keuangan Bulanan/Triwulanan/Semesteran SKPD</t>
  </si>
  <si>
    <t>Kegiatan Administrasi Barang Milik Daerah pada Perangkat Daerah</t>
  </si>
  <si>
    <t>Sub Kegiatan Penyusunan Perencanaan Kebutuhan Barang Milik Daerah SKPD</t>
  </si>
  <si>
    <t>Jumlah Rencana Kebutuhan Barang Milik Daerah SKPD</t>
  </si>
  <si>
    <t>Kegiatan Administrasi Kepegawaian Perangkat Daerah</t>
  </si>
  <si>
    <t>Persentase Administrasi Kepegawaian Perangkat Daerah yang Terpenuhi sesuai ketentuan</t>
  </si>
  <si>
    <t>Persentase Dokumen Administrasi barang Milik Derah yang tersusun sesuai ketentuan</t>
  </si>
  <si>
    <t>Sub Kegiatan Peningkatan Saran dan Prasarana Disiplin Pegawai</t>
  </si>
  <si>
    <t>Jumlah Unit Peningkatan Sarana dan Prasarana Disiplin Pegawai</t>
  </si>
  <si>
    <t>Administrasi Umum Perangkat Daerah</t>
  </si>
  <si>
    <t>Cakupan administrasi umum yang terpenuhi</t>
  </si>
  <si>
    <t>Sub Kegiatan Penyediaan Komponen Instalasi Listrik/Penerangan Bangunan Kantor</t>
  </si>
  <si>
    <t>Jumlah Paket Komponen Instalasi Listrik/Penerengan Bangunan Kantor yang Disediakan</t>
  </si>
  <si>
    <t>Sub Kegiatan Penyediaan Peralatan dan Perlengkapan Kantor</t>
  </si>
  <si>
    <t>Jumlah Paket Peralatan dan Perlengkapan Kantor yang Disediakan</t>
  </si>
  <si>
    <t>Sub Kegiatan Penyediaan Peralatan Rumah Tangga</t>
  </si>
  <si>
    <t>Jumlah Paket Peralatan Rumah Tangga yang Disediakan</t>
  </si>
  <si>
    <t>Sub Kegiatan Bahan Logistik Kantor</t>
  </si>
  <si>
    <t>Sub Kegiatan Barang Cetakan dan Penggandaan</t>
  </si>
  <si>
    <t>Sub Kegiatan Bahan Bacaan dan Peraturan Perundang-undangan</t>
  </si>
  <si>
    <t>Sub Kegiatan Fasilitasi Kunjungan Tamu</t>
  </si>
  <si>
    <t>Sub Kegiatan Penyelenggaraan Rapat Koordinasi dan Konsultasi SKPD</t>
  </si>
  <si>
    <t>Jumlah Paket Bahan Logistik Kantor yang Disediakan</t>
  </si>
  <si>
    <t>Jumlah Paket Barang Cetakan dan Penggandaan yang Disediakan</t>
  </si>
  <si>
    <t>Jumlah Dokumen Bahan-Bacaan dan Peraturan Perundang-Undangan yang Disediakan</t>
  </si>
  <si>
    <t>Jumlah Laporan Fasilitasi Kunjungi Tamu</t>
  </si>
  <si>
    <t>Jumlah Laporan Penyelenggaraan Rapat Koordinasi dan Konsultasi SKPD</t>
  </si>
  <si>
    <t>Sub Kegiatan Pengadaan Mebel</t>
  </si>
  <si>
    <t>Jumlah Paket Mebel yang Disediakan</t>
  </si>
  <si>
    <t>Jumlah Unit Peralatan dan Mesin Lainnya yang Disediakan</t>
  </si>
  <si>
    <t>Jumlah Unit Gedung Kantor atau Bangunan Lainnya yang Disediakan</t>
  </si>
  <si>
    <t>Sub Kegiatan Pengadaan Sarana dan Prasarana Gedung Kantor atau Bangunan Lainnya</t>
  </si>
  <si>
    <t>Jumlah Unit Sarana dan Prasarana Gedung Kantor atau Bangunan Lainnya yang Disediakan</t>
  </si>
  <si>
    <t>Kegiatan Penyediaan Jasa Penunjang Urusan Pemerintahan Daerah</t>
  </si>
  <si>
    <t>Sub Kegiatan Penyediaan Jasa Komunikasi, Sumber Daya Air dan Listrik</t>
  </si>
  <si>
    <t>Jumlah Laporan Penyediaan Jasa Komunikasi, Sumber Daya Air dan Listrik yang Disediakan</t>
  </si>
  <si>
    <t>Sub Kegiatan Penyediaan Jasa Pelayanan Umum Kantor</t>
  </si>
  <si>
    <t>Jumlah Laporan Penyediaan Jasa Pelayanan Umum Kantor yang Disediakan</t>
  </si>
  <si>
    <t>Kegiatan Pemeliharaan Barang Milik Daerah Penunjang Urusan Pemerintahan Daerah</t>
  </si>
  <si>
    <t>Terpeliharanya barang milik daerah penunjang urusan pemerintah daerah</t>
  </si>
  <si>
    <t>Jumlah Kendaraan Perorangan Dinas atau Kendaraan Dinas Jabatan yang dipelihara dan dibayarkan Pajaknya</t>
  </si>
  <si>
    <t>Sub Kegiatan Penyediaan Jasa Pemeliharaan, Biaya Pemeliharaan, dan Pajak Kenderaan Perorangan Dinas atau Kenderaan Dinas Jabatan</t>
  </si>
  <si>
    <t>Sub Kegiatan Penyediaan Jasa Pemeliharaan, Biaya Pemeliharaan, dan Pajak Perizinan Kendaraan Dinas Operasional atau Lapangan</t>
  </si>
  <si>
    <t>Jumlah Kendaraan Dinas Operasional atau Lapangan yang Dipelihara dan dibayarkan Pajak dan Perizinannya</t>
  </si>
  <si>
    <t>Sub Kegiatan Pemeliharaan Peralatan dan Mesin Lainnya</t>
  </si>
  <si>
    <t>Jumlah Peralatan dan Mesin Lainnya yang Dipelihara</t>
  </si>
  <si>
    <t>Sub Kegiatan Pemeliharaan /Rehabilitasi Sarana dan Prasarana Gedung Kantor atau Bangunan Lainnya</t>
  </si>
  <si>
    <t>Jumlah Sarana dan Prasarana Gedung Kantor atau Bangunan Lainnya yang Dipelihara/Direhabilitasi</t>
  </si>
  <si>
    <t>Sub Kegiatan Pemeliharaan/Rehabilitasi Sarana dan Prasarana Pendukung Gedung Kantor atau Bangunan Lainnya</t>
  </si>
  <si>
    <t>Jumlah Sarana dan Prasarana Pendukung Gedung Kantor atau Bangunan Lainnya yang Dipelihara/Direhabilitasi</t>
  </si>
  <si>
    <t>Sub Kegiatan Pengadaan Peralatan dan Mesin Lainnya</t>
  </si>
  <si>
    <t>Sub Kegiatan Pelaksanaan Proses Pemeriksaan dan Pengawasan Koperasi yang Wilayah Keanggotaannya Daerah Kabupaten/Kota</t>
  </si>
  <si>
    <t>Jumlah Koperasi yang telah dilakukan Pemeriksaan dan Pengawasan</t>
  </si>
  <si>
    <t>PROGRAM PENGAWASAN DAN PEMERIKSAAN KOPERASI</t>
  </si>
  <si>
    <t>Ket</t>
  </si>
  <si>
    <t xml:space="preserve">Pembayaran Honorarium Non ASN </t>
  </si>
  <si>
    <t xml:space="preserve">Pembayaran Honorarium Non ASN dan Rapat koordinasi </t>
  </si>
  <si>
    <t>Karena Terjadi Penambahan Pagu Anggaran sehingga target menjadi 500 orang dari 100 Orang</t>
  </si>
  <si>
    <t>Sub Kegiatan Penyediaan Gaji dan Tunjangan ASN</t>
  </si>
  <si>
    <t>JUMLAH  ANGGARAN DAN REALISASI  DARI SELURUH PROGRAM TAHUN 2024</t>
  </si>
  <si>
    <t>Persentase Meningkatnya Koperasi  yang menjalankan kegiatannya sesuai dengan Aturan yang berlaku</t>
  </si>
  <si>
    <t>Banjarmasin,      Juli tahun 2024</t>
  </si>
  <si>
    <t>Persentase Peningkatan
Penyerapan Tenaga Kerja di sektor formal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</si>
</sst>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_(* #,##0_);_(* \(#,##0\);_(* &quot;-&quot;??_);_(@_)"/>
    <numFmt numFmtId="168" formatCode="_-* #,##0_-;\-* #,##0_-;_-* &quot;-&quot;??_-;_-@_-"/>
    <numFmt numFmtId="169" formatCode="_(* #,##0.00_);_(* \(#,##0.00\);_(* &quot;-&quot;_);_(@_)"/>
    <numFmt numFmtId="170" formatCode="0.0"/>
    <numFmt numFmtId="171" formatCode="_(* #,##0.0_);_(* \(#,##0.0\);_(* &quot;-&quot;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20"/>
      <color theme="1"/>
      <name val="Bookman Old Style"/>
      <family val="1"/>
    </font>
    <font>
      <sz val="20"/>
      <color theme="1"/>
      <name val="Bookman Old Style"/>
      <family val="1"/>
    </font>
    <font>
      <b/>
      <sz val="20"/>
      <name val="Bookman Old Style"/>
      <family val="1"/>
    </font>
    <font>
      <sz val="20"/>
      <color rgb="FFFF0000"/>
      <name val="Bookman Old Style"/>
      <family val="1"/>
    </font>
    <font>
      <sz val="20"/>
      <name val="Bookman Old Style"/>
      <family val="1"/>
    </font>
    <font>
      <b/>
      <sz val="20"/>
      <color rgb="FF000000"/>
      <name val="Bookman Old Style"/>
      <family val="1"/>
    </font>
    <font>
      <b/>
      <u/>
      <sz val="20"/>
      <color theme="1"/>
      <name val="Bookman Old Style"/>
      <family val="1"/>
    </font>
    <font>
      <sz val="22"/>
      <color theme="1"/>
      <name val="Bookman Old Style"/>
      <family val="1"/>
    </font>
    <font>
      <b/>
      <sz val="28"/>
      <color theme="1"/>
      <name val="Bookman Old Style"/>
      <family val="1"/>
    </font>
    <font>
      <b/>
      <sz val="28"/>
      <name val="Bookman Old Style"/>
      <family val="1"/>
    </font>
    <font>
      <b/>
      <sz val="28"/>
      <color rgb="FFFF0000"/>
      <name val="Bookman Old Style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indexed="81"/>
      <name val="Tahoma"/>
      <family val="2"/>
    </font>
    <font>
      <b/>
      <sz val="24"/>
      <color indexed="81"/>
      <name val="Tahoma"/>
      <family val="2"/>
    </font>
    <font>
      <b/>
      <sz val="26"/>
      <color indexed="81"/>
      <name val="Tahoma"/>
      <family val="2"/>
    </font>
    <font>
      <b/>
      <sz val="28"/>
      <color indexed="81"/>
      <name val="Tahoma"/>
      <family val="2"/>
    </font>
    <font>
      <b/>
      <sz val="22"/>
      <color theme="1"/>
      <name val="Bookman Old Style"/>
      <family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20"/>
      <color indexed="81"/>
      <name val="Tahoma"/>
      <family val="2"/>
    </font>
    <font>
      <sz val="20"/>
      <color indexed="81"/>
      <name val="Tahoma"/>
      <family val="2"/>
    </font>
    <font>
      <sz val="22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5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3" fillId="0" borderId="0"/>
    <xf numFmtId="0" fontId="2" fillId="0" borderId="0"/>
    <xf numFmtId="41" fontId="2" fillId="0" borderId="0" applyFont="0" applyFill="0" applyBorder="0" applyAlignment="0" applyProtection="0"/>
  </cellStyleXfs>
  <cellXfs count="294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6" fillId="5" borderId="13" xfId="0" applyFont="1" applyFill="1" applyBorder="1" applyAlignment="1">
      <alignment horizontal="left" vertical="center" wrapText="1"/>
    </xf>
    <xf numFmtId="0" fontId="6" fillId="5" borderId="14" xfId="0" applyFont="1" applyFill="1" applyBorder="1" applyAlignment="1">
      <alignment vertical="center" wrapText="1"/>
    </xf>
    <xf numFmtId="0" fontId="6" fillId="5" borderId="14" xfId="0" applyFont="1" applyFill="1" applyBorder="1" applyAlignment="1">
      <alignment horizontal="left" vertical="top" wrapText="1"/>
    </xf>
    <xf numFmtId="0" fontId="6" fillId="5" borderId="14" xfId="0" applyFont="1" applyFill="1" applyBorder="1" applyAlignment="1">
      <alignment horizontal="center" vertical="top"/>
    </xf>
    <xf numFmtId="10" fontId="6" fillId="5" borderId="14" xfId="0" applyNumberFormat="1" applyFont="1" applyFill="1" applyBorder="1" applyAlignment="1">
      <alignment horizontal="center" vertical="top"/>
    </xf>
    <xf numFmtId="164" fontId="6" fillId="5" borderId="14" xfId="0" applyNumberFormat="1" applyFont="1" applyFill="1" applyBorder="1" applyAlignment="1">
      <alignment horizontal="left" vertical="top"/>
    </xf>
    <xf numFmtId="164" fontId="6" fillId="5" borderId="14" xfId="0" applyNumberFormat="1" applyFont="1" applyFill="1" applyBorder="1" applyAlignment="1">
      <alignment horizontal="center" vertical="top"/>
    </xf>
    <xf numFmtId="10" fontId="6" fillId="5" borderId="14" xfId="0" applyNumberFormat="1" applyFont="1" applyFill="1" applyBorder="1" applyAlignment="1">
      <alignment horizontal="left" vertical="top"/>
    </xf>
    <xf numFmtId="0" fontId="6" fillId="5" borderId="14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2" fontId="6" fillId="5" borderId="14" xfId="0" applyNumberFormat="1" applyFont="1" applyFill="1" applyBorder="1" applyAlignment="1">
      <alignment horizontal="center" vertical="top"/>
    </xf>
    <xf numFmtId="0" fontId="6" fillId="5" borderId="15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left" vertical="center" wrapText="1"/>
    </xf>
    <xf numFmtId="0" fontId="6" fillId="6" borderId="14" xfId="0" applyFont="1" applyFill="1" applyBorder="1" applyAlignment="1">
      <alignment vertical="center" wrapText="1"/>
    </xf>
    <xf numFmtId="0" fontId="5" fillId="6" borderId="14" xfId="0" applyFont="1" applyFill="1" applyBorder="1" applyAlignment="1">
      <alignment horizontal="left" vertical="top" wrapText="1"/>
    </xf>
    <xf numFmtId="0" fontId="8" fillId="6" borderId="14" xfId="2" applyFont="1" applyFill="1" applyBorder="1" applyAlignment="1">
      <alignment horizontal="center" vertical="top" wrapText="1"/>
    </xf>
    <xf numFmtId="0" fontId="5" fillId="6" borderId="14" xfId="0" applyFont="1" applyFill="1" applyBorder="1" applyAlignment="1">
      <alignment horizontal="center" vertical="top" wrapText="1"/>
    </xf>
    <xf numFmtId="3" fontId="8" fillId="6" borderId="14" xfId="2" applyNumberFormat="1" applyFont="1" applyFill="1" applyBorder="1" applyAlignment="1">
      <alignment vertical="top" wrapText="1"/>
    </xf>
    <xf numFmtId="0" fontId="5" fillId="6" borderId="14" xfId="0" applyFont="1" applyFill="1" applyBorder="1" applyAlignment="1">
      <alignment horizontal="center" vertical="top"/>
    </xf>
    <xf numFmtId="164" fontId="5" fillId="6" borderId="14" xfId="0" applyNumberFormat="1" applyFont="1" applyFill="1" applyBorder="1" applyAlignment="1">
      <alignment horizontal="left" vertical="top"/>
    </xf>
    <xf numFmtId="10" fontId="5" fillId="6" borderId="14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left" vertical="top"/>
    </xf>
    <xf numFmtId="0" fontId="4" fillId="6" borderId="14" xfId="0" applyFont="1" applyFill="1" applyBorder="1" applyAlignment="1">
      <alignment horizontal="center" vertical="top"/>
    </xf>
    <xf numFmtId="164" fontId="4" fillId="6" borderId="14" xfId="0" applyNumberFormat="1" applyFont="1" applyFill="1" applyBorder="1" applyAlignment="1">
      <alignment horizontal="left" vertical="top"/>
    </xf>
    <xf numFmtId="1" fontId="4" fillId="6" borderId="14" xfId="0" applyNumberFormat="1" applyFont="1" applyFill="1" applyBorder="1" applyAlignment="1">
      <alignment horizontal="center" vertical="top"/>
    </xf>
    <xf numFmtId="2" fontId="4" fillId="6" borderId="14" xfId="0" applyNumberFormat="1" applyFont="1" applyFill="1" applyBorder="1" applyAlignment="1">
      <alignment horizontal="center" vertical="top"/>
    </xf>
    <xf numFmtId="0" fontId="4" fillId="6" borderId="15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2" fontId="5" fillId="6" borderId="14" xfId="0" applyNumberFormat="1" applyFont="1" applyFill="1" applyBorder="1" applyAlignment="1">
      <alignment horizontal="center" vertical="top"/>
    </xf>
    <xf numFmtId="0" fontId="5" fillId="6" borderId="15" xfId="0" applyFont="1" applyFill="1" applyBorder="1" applyAlignment="1">
      <alignment horizontal="left" vertical="center" wrapText="1"/>
    </xf>
    <xf numFmtId="0" fontId="4" fillId="6" borderId="14" xfId="0" applyFont="1" applyFill="1" applyBorder="1" applyAlignment="1">
      <alignment horizontal="center" vertical="top" wrapText="1"/>
    </xf>
    <xf numFmtId="10" fontId="4" fillId="6" borderId="14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left" vertical="top" wrapText="1"/>
    </xf>
    <xf numFmtId="2" fontId="4" fillId="8" borderId="14" xfId="0" applyNumberFormat="1" applyFont="1" applyFill="1" applyBorder="1" applyAlignment="1">
      <alignment vertical="top"/>
    </xf>
    <xf numFmtId="0" fontId="4" fillId="5" borderId="13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left" vertical="top" wrapText="1"/>
    </xf>
    <xf numFmtId="2" fontId="4" fillId="5" borderId="14" xfId="0" applyNumberFormat="1" applyFont="1" applyFill="1" applyBorder="1" applyAlignment="1">
      <alignment horizontal="center" vertical="top"/>
    </xf>
    <xf numFmtId="10" fontId="4" fillId="5" borderId="14" xfId="0" applyNumberFormat="1" applyFont="1" applyFill="1" applyBorder="1" applyAlignment="1">
      <alignment horizontal="center" vertical="top"/>
    </xf>
    <xf numFmtId="164" fontId="4" fillId="5" borderId="14" xfId="0" applyNumberFormat="1" applyFont="1" applyFill="1" applyBorder="1" applyAlignment="1">
      <alignment horizontal="left" vertical="top"/>
    </xf>
    <xf numFmtId="0" fontId="4" fillId="5" borderId="14" xfId="0" applyFont="1" applyFill="1" applyBorder="1" applyAlignment="1">
      <alignment horizontal="center" vertical="top"/>
    </xf>
    <xf numFmtId="0" fontId="4" fillId="5" borderId="14" xfId="0" applyFont="1" applyFill="1" applyBorder="1" applyAlignment="1">
      <alignment horizontal="left" vertical="top"/>
    </xf>
    <xf numFmtId="1" fontId="4" fillId="5" borderId="14" xfId="0" applyNumberFormat="1" applyFont="1" applyFill="1" applyBorder="1" applyAlignment="1">
      <alignment horizontal="center" vertical="top"/>
    </xf>
    <xf numFmtId="0" fontId="4" fillId="5" borderId="15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center"/>
    </xf>
    <xf numFmtId="0" fontId="8" fillId="6" borderId="14" xfId="3" applyFont="1" applyFill="1" applyBorder="1" applyAlignment="1">
      <alignment horizontal="center" vertical="top" wrapText="1"/>
    </xf>
    <xf numFmtId="3" fontId="8" fillId="6" borderId="14" xfId="3" applyNumberFormat="1" applyFont="1" applyFill="1" applyBorder="1" applyAlignment="1">
      <alignment horizontal="right" vertical="top" wrapText="1"/>
    </xf>
    <xf numFmtId="1" fontId="5" fillId="6" borderId="14" xfId="0" applyNumberFormat="1" applyFont="1" applyFill="1" applyBorder="1" applyAlignment="1">
      <alignment horizontal="center" vertical="top"/>
    </xf>
    <xf numFmtId="2" fontId="4" fillId="16" borderId="14" xfId="0" applyNumberFormat="1" applyFont="1" applyFill="1" applyBorder="1" applyAlignment="1">
      <alignment vertical="top"/>
    </xf>
    <xf numFmtId="0" fontId="6" fillId="5" borderId="14" xfId="3" applyFont="1" applyFill="1" applyBorder="1" applyAlignment="1">
      <alignment horizontal="center" vertical="top" wrapText="1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6" fillId="6" borderId="14" xfId="3" applyFont="1" applyFill="1" applyBorder="1" applyAlignment="1">
      <alignment horizontal="center" vertical="top" wrapText="1"/>
    </xf>
    <xf numFmtId="0" fontId="6" fillId="6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left" vertical="center" wrapText="1"/>
    </xf>
    <xf numFmtId="10" fontId="4" fillId="5" borderId="14" xfId="0" applyNumberFormat="1" applyFont="1" applyFill="1" applyBorder="1" applyAlignment="1">
      <alignment horizontal="center" vertical="top" wrapText="1"/>
    </xf>
    <xf numFmtId="2" fontId="4" fillId="5" borderId="14" xfId="0" applyNumberFormat="1" applyFont="1" applyFill="1" applyBorder="1" applyAlignment="1">
      <alignment horizontal="left" vertical="top"/>
    </xf>
    <xf numFmtId="0" fontId="4" fillId="6" borderId="14" xfId="0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horizontal="left" vertical="top" wrapText="1"/>
    </xf>
    <xf numFmtId="0" fontId="8" fillId="6" borderId="14" xfId="5" applyFont="1" applyFill="1" applyBorder="1" applyAlignment="1">
      <alignment vertical="top" wrapText="1"/>
    </xf>
    <xf numFmtId="0" fontId="8" fillId="6" borderId="14" xfId="4" applyNumberFormat="1" applyFont="1" applyFill="1" applyBorder="1" applyAlignment="1">
      <alignment horizontal="center" vertical="top" wrapText="1"/>
    </xf>
    <xf numFmtId="164" fontId="8" fillId="6" borderId="14" xfId="6" applyNumberFormat="1" applyFont="1" applyFill="1" applyBorder="1" applyAlignment="1">
      <alignment horizontal="center" vertical="top" wrapText="1"/>
    </xf>
    <xf numFmtId="164" fontId="5" fillId="6" borderId="14" xfId="0" applyNumberFormat="1" applyFont="1" applyFill="1" applyBorder="1" applyAlignment="1">
      <alignment horizontal="center" vertical="top"/>
    </xf>
    <xf numFmtId="3" fontId="8" fillId="6" borderId="14" xfId="3" applyNumberFormat="1" applyFont="1" applyFill="1" applyBorder="1" applyAlignment="1">
      <alignment horizontal="center" vertical="top" wrapText="1"/>
    </xf>
    <xf numFmtId="0" fontId="5" fillId="6" borderId="14" xfId="0" applyFont="1" applyFill="1" applyBorder="1" applyAlignment="1">
      <alignment horizontal="left" vertical="top"/>
    </xf>
    <xf numFmtId="2" fontId="4" fillId="6" borderId="14" xfId="0" applyNumberFormat="1" applyFont="1" applyFill="1" applyBorder="1" applyAlignment="1">
      <alignment horizontal="left" vertical="top"/>
    </xf>
    <xf numFmtId="0" fontId="8" fillId="6" borderId="14" xfId="5" applyFont="1" applyFill="1" applyBorder="1" applyAlignment="1">
      <alignment horizontal="center" vertical="top" wrapText="1"/>
    </xf>
    <xf numFmtId="164" fontId="8" fillId="6" borderId="14" xfId="5" applyNumberFormat="1" applyFont="1" applyFill="1" applyBorder="1" applyAlignment="1">
      <alignment horizontal="center" vertical="top" wrapText="1"/>
    </xf>
    <xf numFmtId="164" fontId="8" fillId="6" borderId="14" xfId="0" applyNumberFormat="1" applyFont="1" applyFill="1" applyBorder="1" applyAlignment="1">
      <alignment horizontal="left" vertical="top"/>
    </xf>
    <xf numFmtId="0" fontId="4" fillId="5" borderId="14" xfId="0" applyFont="1" applyFill="1" applyBorder="1" applyAlignment="1">
      <alignment horizontal="center" vertical="top" wrapText="1"/>
    </xf>
    <xf numFmtId="3" fontId="5" fillId="6" borderId="14" xfId="0" applyNumberFormat="1" applyFont="1" applyFill="1" applyBorder="1" applyAlignment="1">
      <alignment horizontal="center" vertical="top"/>
    </xf>
    <xf numFmtId="166" fontId="8" fillId="6" borderId="14" xfId="3" applyNumberFormat="1" applyFont="1" applyFill="1" applyBorder="1" applyAlignment="1">
      <alignment horizontal="center" vertical="top" wrapText="1"/>
    </xf>
    <xf numFmtId="164" fontId="4" fillId="5" borderId="14" xfId="0" applyNumberFormat="1" applyFont="1" applyFill="1" applyBorder="1" applyAlignment="1">
      <alignment horizontal="center" vertical="top"/>
    </xf>
    <xf numFmtId="1" fontId="4" fillId="5" borderId="14" xfId="0" applyNumberFormat="1" applyFont="1" applyFill="1" applyBorder="1" applyAlignment="1">
      <alignment horizontal="left" vertical="top"/>
    </xf>
    <xf numFmtId="2" fontId="8" fillId="6" borderId="14" xfId="3" applyNumberFormat="1" applyFont="1" applyFill="1" applyBorder="1" applyAlignment="1">
      <alignment horizontal="center" vertical="top" wrapText="1"/>
    </xf>
    <xf numFmtId="167" fontId="8" fillId="6" borderId="14" xfId="7" applyNumberFormat="1" applyFont="1" applyFill="1" applyBorder="1" applyAlignment="1">
      <alignment horizontal="center" vertical="top" wrapText="1"/>
    </xf>
    <xf numFmtId="164" fontId="4" fillId="6" borderId="14" xfId="0" applyNumberFormat="1" applyFont="1" applyFill="1" applyBorder="1" applyAlignment="1">
      <alignment horizontal="center" vertical="top"/>
    </xf>
    <xf numFmtId="0" fontId="8" fillId="6" borderId="14" xfId="6" applyFont="1" applyFill="1" applyBorder="1" applyAlignment="1">
      <alignment horizontal="center" vertical="top" wrapText="1"/>
    </xf>
    <xf numFmtId="1" fontId="8" fillId="6" borderId="14" xfId="3" applyNumberFormat="1" applyFont="1" applyFill="1" applyBorder="1" applyAlignment="1">
      <alignment horizontal="center" vertical="top" wrapText="1"/>
    </xf>
    <xf numFmtId="41" fontId="4" fillId="6" borderId="14" xfId="14" applyFont="1" applyFill="1" applyBorder="1" applyAlignment="1">
      <alignment horizontal="left" vertical="top"/>
    </xf>
    <xf numFmtId="1" fontId="4" fillId="6" borderId="14" xfId="0" applyNumberFormat="1" applyFont="1" applyFill="1" applyBorder="1" applyAlignment="1">
      <alignment horizontal="left" vertical="top"/>
    </xf>
    <xf numFmtId="43" fontId="8" fillId="6" borderId="14" xfId="3" applyNumberFormat="1" applyFont="1" applyFill="1" applyBorder="1" applyAlignment="1">
      <alignment horizontal="center" vertical="top" wrapText="1"/>
    </xf>
    <xf numFmtId="0" fontId="4" fillId="6" borderId="0" xfId="0" applyFont="1" applyFill="1" applyAlignment="1">
      <alignment horizontal="center"/>
    </xf>
    <xf numFmtId="10" fontId="5" fillId="6" borderId="14" xfId="0" applyNumberFormat="1" applyFont="1" applyFill="1" applyBorder="1" applyAlignment="1">
      <alignment horizontal="center" vertical="top"/>
    </xf>
    <xf numFmtId="0" fontId="4" fillId="9" borderId="0" xfId="0" applyFont="1" applyFill="1" applyAlignment="1">
      <alignment horizontal="center"/>
    </xf>
    <xf numFmtId="41" fontId="4" fillId="5" borderId="14" xfId="0" applyNumberFormat="1" applyFont="1" applyFill="1" applyBorder="1" applyAlignment="1">
      <alignment horizontal="left" vertical="top"/>
    </xf>
    <xf numFmtId="41" fontId="5" fillId="6" borderId="14" xfId="14" applyFont="1" applyFill="1" applyBorder="1" applyAlignment="1">
      <alignment horizontal="left" vertical="top"/>
    </xf>
    <xf numFmtId="164" fontId="5" fillId="5" borderId="14" xfId="0" applyNumberFormat="1" applyFont="1" applyFill="1" applyBorder="1" applyAlignment="1">
      <alignment horizontal="left" vertical="top"/>
    </xf>
    <xf numFmtId="1" fontId="5" fillId="5" borderId="14" xfId="0" applyNumberFormat="1" applyFont="1" applyFill="1" applyBorder="1" applyAlignment="1">
      <alignment horizontal="center" vertical="top"/>
    </xf>
    <xf numFmtId="2" fontId="5" fillId="5" borderId="14" xfId="0" applyNumberFormat="1" applyFont="1" applyFill="1" applyBorder="1" applyAlignment="1">
      <alignment horizontal="center" vertical="top"/>
    </xf>
    <xf numFmtId="164" fontId="8" fillId="6" borderId="14" xfId="6" applyNumberFormat="1" applyFont="1" applyFill="1" applyBorder="1" applyAlignment="1">
      <alignment horizontal="center" vertical="top"/>
    </xf>
    <xf numFmtId="0" fontId="8" fillId="6" borderId="14" xfId="6" applyFont="1" applyFill="1" applyBorder="1" applyAlignment="1">
      <alignment horizontal="center" vertical="top"/>
    </xf>
    <xf numFmtId="0" fontId="4" fillId="10" borderId="0" xfId="0" applyFont="1" applyFill="1" applyAlignment="1">
      <alignment horizontal="center"/>
    </xf>
    <xf numFmtId="0" fontId="8" fillId="6" borderId="14" xfId="8" applyFont="1" applyFill="1" applyBorder="1" applyAlignment="1">
      <alignment horizontal="center" vertical="top"/>
    </xf>
    <xf numFmtId="164" fontId="8" fillId="6" borderId="14" xfId="2" applyNumberFormat="1" applyFont="1" applyFill="1" applyBorder="1" applyAlignment="1">
      <alignment horizontal="center" vertical="top" wrapText="1"/>
    </xf>
    <xf numFmtId="164" fontId="5" fillId="6" borderId="14" xfId="1" applyNumberFormat="1" applyFont="1" applyFill="1" applyBorder="1" applyAlignment="1">
      <alignment horizontal="left" vertical="top"/>
    </xf>
    <xf numFmtId="0" fontId="4" fillId="7" borderId="15" xfId="0" applyFont="1" applyFill="1" applyBorder="1" applyAlignment="1">
      <alignment horizontal="left" vertical="center" wrapText="1"/>
    </xf>
    <xf numFmtId="0" fontId="8" fillId="6" borderId="14" xfId="5" applyFont="1" applyFill="1" applyBorder="1" applyAlignment="1">
      <alignment horizontal="left" vertical="top" wrapText="1"/>
    </xf>
    <xf numFmtId="37" fontId="8" fillId="6" borderId="14" xfId="9" applyNumberFormat="1" applyFont="1" applyFill="1" applyBorder="1" applyAlignment="1">
      <alignment horizontal="center" vertical="top" wrapText="1"/>
    </xf>
    <xf numFmtId="164" fontId="8" fillId="6" borderId="14" xfId="3" applyNumberFormat="1" applyFont="1" applyFill="1" applyBorder="1" applyAlignment="1">
      <alignment horizontal="center" vertical="top" wrapText="1"/>
    </xf>
    <xf numFmtId="164" fontId="4" fillId="6" borderId="14" xfId="1" applyNumberFormat="1" applyFont="1" applyFill="1" applyBorder="1" applyAlignment="1">
      <alignment horizontal="left" vertical="top"/>
    </xf>
    <xf numFmtId="0" fontId="4" fillId="5" borderId="13" xfId="0" applyFont="1" applyFill="1" applyBorder="1" applyAlignment="1">
      <alignment horizontal="left" vertical="top" wrapText="1"/>
    </xf>
    <xf numFmtId="164" fontId="4" fillId="5" borderId="14" xfId="0" applyNumberFormat="1" applyFont="1" applyFill="1" applyBorder="1" applyAlignment="1">
      <alignment horizontal="left" vertical="top" wrapText="1"/>
    </xf>
    <xf numFmtId="0" fontId="4" fillId="5" borderId="15" xfId="0" applyFont="1" applyFill="1" applyBorder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0" fontId="8" fillId="6" borderId="14" xfId="3" applyFont="1" applyFill="1" applyBorder="1" applyAlignment="1">
      <alignment horizontal="center" vertical="top"/>
    </xf>
    <xf numFmtId="0" fontId="4" fillId="11" borderId="0" xfId="0" applyFont="1" applyFill="1" applyAlignment="1">
      <alignment horizontal="center"/>
    </xf>
    <xf numFmtId="168" fontId="8" fillId="6" borderId="14" xfId="4" applyNumberFormat="1" applyFont="1" applyFill="1" applyBorder="1" applyAlignment="1">
      <alignment horizontal="center" vertical="top" wrapText="1"/>
    </xf>
    <xf numFmtId="0" fontId="8" fillId="6" borderId="14" xfId="10" applyFont="1" applyFill="1" applyBorder="1" applyAlignment="1">
      <alignment horizontal="left" vertical="top" wrapText="1"/>
    </xf>
    <xf numFmtId="0" fontId="8" fillId="6" borderId="14" xfId="11" applyNumberFormat="1" applyFont="1" applyFill="1" applyBorder="1" applyAlignment="1">
      <alignment horizontal="center" vertical="top" wrapText="1"/>
    </xf>
    <xf numFmtId="164" fontId="4" fillId="8" borderId="14" xfId="0" applyNumberFormat="1" applyFont="1" applyFill="1" applyBorder="1" applyAlignment="1">
      <alignment horizontal="left" vertical="top"/>
    </xf>
    <xf numFmtId="164" fontId="4" fillId="16" borderId="14" xfId="0" applyNumberFormat="1" applyFont="1" applyFill="1" applyBorder="1" applyAlignment="1">
      <alignment horizontal="left" vertical="top"/>
    </xf>
    <xf numFmtId="1" fontId="4" fillId="0" borderId="14" xfId="0" applyNumberFormat="1" applyFont="1" applyBorder="1" applyAlignment="1">
      <alignment horizontal="left" vertical="top"/>
    </xf>
    <xf numFmtId="2" fontId="4" fillId="0" borderId="14" xfId="0" applyNumberFormat="1" applyFont="1" applyBorder="1" applyAlignment="1">
      <alignment horizontal="left" vertical="top"/>
    </xf>
    <xf numFmtId="0" fontId="4" fillId="0" borderId="15" xfId="0" applyFont="1" applyBorder="1" applyAlignment="1">
      <alignment horizontal="left" vertical="center" wrapText="1"/>
    </xf>
    <xf numFmtId="2" fontId="4" fillId="0" borderId="14" xfId="0" applyNumberFormat="1" applyFont="1" applyBorder="1" applyAlignment="1">
      <alignment horizontal="center" vertical="top" wrapText="1"/>
    </xf>
    <xf numFmtId="0" fontId="5" fillId="0" borderId="16" xfId="0" applyFont="1" applyBorder="1"/>
    <xf numFmtId="0" fontId="5" fillId="0" borderId="17" xfId="0" applyFont="1" applyBorder="1"/>
    <xf numFmtId="0" fontId="5" fillId="0" borderId="17" xfId="0" applyFont="1" applyBorder="1" applyAlignment="1">
      <alignment horizontal="center" vertical="top"/>
    </xf>
    <xf numFmtId="0" fontId="5" fillId="0" borderId="17" xfId="0" applyFont="1" applyBorder="1" applyAlignment="1">
      <alignment wrapText="1"/>
    </xf>
    <xf numFmtId="164" fontId="5" fillId="0" borderId="17" xfId="0" applyNumberFormat="1" applyFont="1" applyBorder="1"/>
    <xf numFmtId="0" fontId="8" fillId="0" borderId="17" xfId="0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/>
    <xf numFmtId="0" fontId="5" fillId="0" borderId="0" xfId="0" applyFont="1" applyAlignment="1">
      <alignment wrapText="1"/>
    </xf>
    <xf numFmtId="164" fontId="5" fillId="0" borderId="0" xfId="0" applyNumberFormat="1" applyFont="1"/>
    <xf numFmtId="0" fontId="8" fillId="0" borderId="0" xfId="0" applyFont="1"/>
    <xf numFmtId="0" fontId="5" fillId="13" borderId="0" xfId="0" applyFont="1" applyFill="1"/>
    <xf numFmtId="0" fontId="5" fillId="13" borderId="0" xfId="0" applyFont="1" applyFill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4" fillId="0" borderId="0" xfId="0" applyFont="1"/>
    <xf numFmtId="0" fontId="5" fillId="15" borderId="0" xfId="0" applyFont="1" applyFill="1"/>
    <xf numFmtId="0" fontId="5" fillId="15" borderId="0" xfId="0" applyFont="1" applyFill="1" applyAlignment="1">
      <alignment horizontal="center" vertical="top"/>
    </xf>
    <xf numFmtId="0" fontId="5" fillId="9" borderId="0" xfId="0" applyFont="1" applyFill="1"/>
    <xf numFmtId="0" fontId="5" fillId="9" borderId="0" xfId="0" applyFont="1" applyFill="1" applyAlignment="1">
      <alignment horizontal="center" vertical="top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/>
    </xf>
    <xf numFmtId="0" fontId="10" fillId="0" borderId="0" xfId="0" applyFont="1"/>
    <xf numFmtId="0" fontId="5" fillId="0" borderId="0" xfId="0" applyFont="1" applyAlignment="1">
      <alignment vertical="top" wrapText="1"/>
    </xf>
    <xf numFmtId="0" fontId="5" fillId="14" borderId="0" xfId="0" applyFont="1" applyFill="1"/>
    <xf numFmtId="0" fontId="5" fillId="8" borderId="0" xfId="0" applyFont="1" applyFill="1"/>
    <xf numFmtId="0" fontId="5" fillId="11" borderId="0" xfId="0" applyFont="1" applyFill="1" applyAlignment="1">
      <alignment horizontal="center"/>
    </xf>
    <xf numFmtId="0" fontId="5" fillId="11" borderId="0" xfId="0" applyFont="1" applyFill="1"/>
    <xf numFmtId="0" fontId="11" fillId="0" borderId="0" xfId="0" applyFont="1"/>
    <xf numFmtId="0" fontId="4" fillId="17" borderId="10" xfId="0" applyFont="1" applyFill="1" applyBorder="1" applyAlignment="1">
      <alignment horizontal="left" vertical="top" wrapText="1"/>
    </xf>
    <xf numFmtId="0" fontId="4" fillId="17" borderId="11" xfId="0" applyFont="1" applyFill="1" applyBorder="1" applyAlignment="1">
      <alignment horizontal="left" vertical="top" wrapText="1"/>
    </xf>
    <xf numFmtId="0" fontId="4" fillId="17" borderId="11" xfId="0" applyFont="1" applyFill="1" applyBorder="1" applyAlignment="1">
      <alignment horizontal="center" vertical="top"/>
    </xf>
    <xf numFmtId="10" fontId="4" fillId="17" borderId="11" xfId="0" applyNumberFormat="1" applyFont="1" applyFill="1" applyBorder="1" applyAlignment="1">
      <alignment horizontal="center" vertical="top"/>
    </xf>
    <xf numFmtId="164" fontId="4" fillId="17" borderId="11" xfId="0" applyNumberFormat="1" applyFont="1" applyFill="1" applyBorder="1" applyAlignment="1">
      <alignment horizontal="left" vertical="top"/>
    </xf>
    <xf numFmtId="164" fontId="4" fillId="17" borderId="11" xfId="0" applyNumberFormat="1" applyFont="1" applyFill="1" applyBorder="1" applyAlignment="1">
      <alignment horizontal="center" vertical="top"/>
    </xf>
    <xf numFmtId="0" fontId="4" fillId="17" borderId="11" xfId="0" applyFont="1" applyFill="1" applyBorder="1" applyAlignment="1">
      <alignment horizontal="center"/>
    </xf>
    <xf numFmtId="1" fontId="4" fillId="17" borderId="11" xfId="0" applyNumberFormat="1" applyFont="1" applyFill="1" applyBorder="1" applyAlignment="1">
      <alignment horizontal="center" vertical="top"/>
    </xf>
    <xf numFmtId="2" fontId="4" fillId="17" borderId="11" xfId="0" applyNumberFormat="1" applyFont="1" applyFill="1" applyBorder="1" applyAlignment="1">
      <alignment horizontal="center" vertical="top"/>
    </xf>
    <xf numFmtId="0" fontId="4" fillId="17" borderId="12" xfId="0" applyFont="1" applyFill="1" applyBorder="1" applyAlignment="1">
      <alignment horizontal="left" vertical="center" wrapText="1"/>
    </xf>
    <xf numFmtId="0" fontId="4" fillId="17" borderId="13" xfId="0" applyFont="1" applyFill="1" applyBorder="1" applyAlignment="1">
      <alignment horizontal="left" vertical="center" wrapText="1"/>
    </xf>
    <xf numFmtId="0" fontId="4" fillId="17" borderId="14" xfId="0" applyFont="1" applyFill="1" applyBorder="1" applyAlignment="1">
      <alignment horizontal="left" vertical="top" wrapText="1"/>
    </xf>
    <xf numFmtId="0" fontId="4" fillId="17" borderId="14" xfId="0" applyFont="1" applyFill="1" applyBorder="1" applyAlignment="1">
      <alignment horizontal="center" vertical="top"/>
    </xf>
    <xf numFmtId="10" fontId="4" fillId="17" borderId="14" xfId="0" applyNumberFormat="1" applyFont="1" applyFill="1" applyBorder="1" applyAlignment="1">
      <alignment horizontal="center" vertical="top"/>
    </xf>
    <xf numFmtId="164" fontId="4" fillId="17" borderId="14" xfId="0" applyNumberFormat="1" applyFont="1" applyFill="1" applyBorder="1" applyAlignment="1">
      <alignment horizontal="left" vertical="top"/>
    </xf>
    <xf numFmtId="164" fontId="4" fillId="17" borderId="14" xfId="0" applyNumberFormat="1" applyFont="1" applyFill="1" applyBorder="1" applyAlignment="1">
      <alignment horizontal="center" vertical="top"/>
    </xf>
    <xf numFmtId="2" fontId="4" fillId="17" borderId="14" xfId="0" applyNumberFormat="1" applyFont="1" applyFill="1" applyBorder="1" applyAlignment="1">
      <alignment horizontal="center" vertical="top"/>
    </xf>
    <xf numFmtId="0" fontId="4" fillId="17" borderId="14" xfId="0" applyFont="1" applyFill="1" applyBorder="1" applyAlignment="1">
      <alignment horizontal="left" vertical="top"/>
    </xf>
    <xf numFmtId="0" fontId="4" fillId="17" borderId="15" xfId="0" applyFont="1" applyFill="1" applyBorder="1" applyAlignment="1">
      <alignment horizontal="left" vertical="center" wrapText="1"/>
    </xf>
    <xf numFmtId="0" fontId="4" fillId="17" borderId="13" xfId="0" applyFont="1" applyFill="1" applyBorder="1" applyAlignment="1">
      <alignment horizontal="center" vertical="top" wrapText="1"/>
    </xf>
    <xf numFmtId="0" fontId="6" fillId="17" borderId="14" xfId="0" applyFont="1" applyFill="1" applyBorder="1" applyAlignment="1">
      <alignment vertical="center" wrapText="1"/>
    </xf>
    <xf numFmtId="0" fontId="4" fillId="17" borderId="14" xfId="0" applyFont="1" applyFill="1" applyBorder="1" applyAlignment="1">
      <alignment horizontal="center"/>
    </xf>
    <xf numFmtId="0" fontId="4" fillId="17" borderId="15" xfId="0" applyFont="1" applyFill="1" applyBorder="1" applyAlignment="1">
      <alignment horizontal="center"/>
    </xf>
    <xf numFmtId="2" fontId="4" fillId="17" borderId="14" xfId="0" applyNumberFormat="1" applyFont="1" applyFill="1" applyBorder="1" applyAlignment="1">
      <alignment horizontal="left" vertical="top"/>
    </xf>
    <xf numFmtId="1" fontId="4" fillId="17" borderId="14" xfId="0" applyNumberFormat="1" applyFont="1" applyFill="1" applyBorder="1" applyAlignment="1">
      <alignment horizontal="center" vertical="top"/>
    </xf>
    <xf numFmtId="0" fontId="6" fillId="17" borderId="14" xfId="4" applyNumberFormat="1" applyFont="1" applyFill="1" applyBorder="1" applyAlignment="1">
      <alignment horizontal="center" vertical="top" wrapText="1"/>
    </xf>
    <xf numFmtId="0" fontId="6" fillId="17" borderId="14" xfId="3" applyFont="1" applyFill="1" applyBorder="1" applyAlignment="1">
      <alignment horizontal="center" vertical="top" wrapText="1"/>
    </xf>
    <xf numFmtId="2" fontId="6" fillId="17" borderId="14" xfId="4" applyNumberFormat="1" applyFont="1" applyFill="1" applyBorder="1" applyAlignment="1">
      <alignment horizontal="center" vertical="top" wrapText="1"/>
    </xf>
    <xf numFmtId="0" fontId="4" fillId="17" borderId="14" xfId="0" applyFont="1" applyFill="1" applyBorder="1" applyAlignment="1">
      <alignment horizontal="left" vertical="center" wrapText="1"/>
    </xf>
    <xf numFmtId="10" fontId="4" fillId="17" borderId="14" xfId="0" applyNumberFormat="1" applyFont="1" applyFill="1" applyBorder="1" applyAlignment="1">
      <alignment horizontal="center" vertical="top" wrapText="1"/>
    </xf>
    <xf numFmtId="1" fontId="4" fillId="17" borderId="14" xfId="0" applyNumberFormat="1" applyFont="1" applyFill="1" applyBorder="1" applyAlignment="1">
      <alignment horizontal="left" vertical="top"/>
    </xf>
    <xf numFmtId="0" fontId="9" fillId="17" borderId="14" xfId="12" applyFont="1" applyFill="1" applyBorder="1" applyAlignment="1">
      <alignment horizontal="left" vertical="top" wrapText="1"/>
    </xf>
    <xf numFmtId="0" fontId="4" fillId="17" borderId="14" xfId="5" applyFont="1" applyFill="1" applyBorder="1" applyAlignment="1">
      <alignment horizontal="left" vertical="top" wrapText="1"/>
    </xf>
    <xf numFmtId="0" fontId="6" fillId="17" borderId="14" xfId="13" applyFont="1" applyFill="1" applyBorder="1" applyAlignment="1">
      <alignment horizontal="center" vertical="top" wrapText="1"/>
    </xf>
    <xf numFmtId="2" fontId="4" fillId="8" borderId="14" xfId="0" applyNumberFormat="1" applyFont="1" applyFill="1" applyBorder="1" applyAlignment="1">
      <alignment horizontal="center" vertical="top"/>
    </xf>
    <xf numFmtId="2" fontId="4" fillId="8" borderId="14" xfId="0" applyNumberFormat="1" applyFont="1" applyFill="1" applyBorder="1" applyAlignment="1">
      <alignment vertical="center"/>
    </xf>
    <xf numFmtId="169" fontId="4" fillId="17" borderId="14" xfId="0" applyNumberFormat="1" applyFont="1" applyFill="1" applyBorder="1" applyAlignment="1">
      <alignment horizontal="left" vertical="top"/>
    </xf>
    <xf numFmtId="0" fontId="5" fillId="14" borderId="0" xfId="0" applyFont="1" applyFill="1" applyAlignment="1">
      <alignment horizontal="center"/>
    </xf>
    <xf numFmtId="1" fontId="6" fillId="17" borderId="14" xfId="13" applyNumberFormat="1" applyFont="1" applyFill="1" applyBorder="1" applyAlignment="1">
      <alignment horizontal="center" vertical="top" wrapText="1"/>
    </xf>
    <xf numFmtId="0" fontId="5" fillId="13" borderId="14" xfId="0" applyFont="1" applyFill="1" applyBorder="1" applyAlignment="1">
      <alignment horizontal="left" vertical="top" wrapText="1"/>
    </xf>
    <xf numFmtId="0" fontId="8" fillId="13" borderId="14" xfId="0" applyFont="1" applyFill="1" applyBorder="1" applyAlignment="1">
      <alignment horizontal="left" vertical="top" wrapText="1"/>
    </xf>
    <xf numFmtId="0" fontId="5" fillId="18" borderId="14" xfId="0" applyFont="1" applyFill="1" applyBorder="1" applyAlignment="1">
      <alignment horizontal="left" vertical="top" wrapText="1"/>
    </xf>
    <xf numFmtId="0" fontId="8" fillId="18" borderId="14" xfId="3" applyFont="1" applyFill="1" applyBorder="1" applyAlignment="1">
      <alignment horizontal="center" vertical="top"/>
    </xf>
    <xf numFmtId="0" fontId="8" fillId="18" borderId="14" xfId="3" applyFont="1" applyFill="1" applyBorder="1" applyAlignment="1">
      <alignment horizontal="center" vertical="top" wrapText="1"/>
    </xf>
    <xf numFmtId="164" fontId="5" fillId="18" borderId="14" xfId="0" applyNumberFormat="1" applyFont="1" applyFill="1" applyBorder="1" applyAlignment="1">
      <alignment horizontal="left" vertical="top"/>
    </xf>
    <xf numFmtId="0" fontId="5" fillId="18" borderId="14" xfId="0" applyFont="1" applyFill="1" applyBorder="1" applyAlignment="1">
      <alignment horizontal="center" vertical="top"/>
    </xf>
    <xf numFmtId="0" fontId="5" fillId="18" borderId="14" xfId="0" applyFont="1" applyFill="1" applyBorder="1" applyAlignment="1">
      <alignment horizontal="center" vertical="top" wrapText="1"/>
    </xf>
    <xf numFmtId="164" fontId="5" fillId="18" borderId="14" xfId="0" applyNumberFormat="1" applyFont="1" applyFill="1" applyBorder="1" applyAlignment="1">
      <alignment horizontal="center" vertical="top"/>
    </xf>
    <xf numFmtId="164" fontId="8" fillId="18" borderId="14" xfId="6" applyNumberFormat="1" applyFont="1" applyFill="1" applyBorder="1" applyAlignment="1">
      <alignment horizontal="center" vertical="top" wrapText="1"/>
    </xf>
    <xf numFmtId="170" fontId="4" fillId="17" borderId="14" xfId="0" applyNumberFormat="1" applyFont="1" applyFill="1" applyBorder="1" applyAlignment="1">
      <alignment horizontal="center" vertical="top"/>
    </xf>
    <xf numFmtId="0" fontId="9" fillId="17" borderId="14" xfId="12" applyFont="1" applyFill="1" applyBorder="1" applyAlignment="1">
      <alignment horizontal="center" vertical="top" wrapText="1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10" borderId="23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 vertical="top"/>
    </xf>
    <xf numFmtId="0" fontId="4" fillId="11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2" fontId="4" fillId="6" borderId="14" xfId="0" applyNumberFormat="1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 vertical="top"/>
    </xf>
    <xf numFmtId="10" fontId="4" fillId="0" borderId="0" xfId="0" applyNumberFormat="1" applyFont="1" applyAlignment="1">
      <alignment horizontal="center" vertical="top"/>
    </xf>
    <xf numFmtId="0" fontId="1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4" borderId="22" xfId="0" applyFont="1" applyFill="1" applyBorder="1" applyAlignment="1">
      <alignment horizontal="center" vertical="top"/>
    </xf>
    <xf numFmtId="0" fontId="4" fillId="4" borderId="23" xfId="0" applyFont="1" applyFill="1" applyBorder="1" applyAlignment="1">
      <alignment horizontal="center" vertical="top"/>
    </xf>
    <xf numFmtId="0" fontId="6" fillId="5" borderId="23" xfId="0" applyFont="1" applyFill="1" applyBorder="1" applyAlignment="1">
      <alignment horizontal="center" vertical="top"/>
    </xf>
    <xf numFmtId="0" fontId="4" fillId="7" borderId="23" xfId="0" applyFont="1" applyFill="1" applyBorder="1" applyAlignment="1">
      <alignment horizontal="center" vertical="top"/>
    </xf>
    <xf numFmtId="0" fontId="4" fillId="6" borderId="23" xfId="0" applyFont="1" applyFill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9" borderId="23" xfId="0" applyFont="1" applyFill="1" applyBorder="1" applyAlignment="1">
      <alignment horizontal="center" vertical="top"/>
    </xf>
    <xf numFmtId="0" fontId="4" fillId="10" borderId="23" xfId="0" applyFont="1" applyFill="1" applyBorder="1" applyAlignment="1">
      <alignment horizontal="center" vertical="top"/>
    </xf>
    <xf numFmtId="0" fontId="4" fillId="11" borderId="23" xfId="0" applyFont="1" applyFill="1" applyBorder="1" applyAlignment="1">
      <alignment horizontal="center" vertical="top"/>
    </xf>
    <xf numFmtId="0" fontId="4" fillId="7" borderId="24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7" borderId="23" xfId="0" applyFont="1" applyFill="1" applyBorder="1" applyAlignment="1">
      <alignment horizontal="center" vertical="top" wrapText="1"/>
    </xf>
    <xf numFmtId="0" fontId="4" fillId="10" borderId="23" xfId="0" applyFont="1" applyFill="1" applyBorder="1" applyAlignment="1">
      <alignment horizontal="center" vertical="top" wrapText="1"/>
    </xf>
    <xf numFmtId="166" fontId="4" fillId="17" borderId="14" xfId="0" applyNumberFormat="1" applyFont="1" applyFill="1" applyBorder="1" applyAlignment="1">
      <alignment horizontal="center" vertical="top"/>
    </xf>
    <xf numFmtId="0" fontId="5" fillId="8" borderId="14" xfId="0" applyFont="1" applyFill="1" applyBorder="1" applyAlignment="1">
      <alignment horizontal="center" vertical="top"/>
    </xf>
    <xf numFmtId="166" fontId="4" fillId="6" borderId="14" xfId="0" applyNumberFormat="1" applyFont="1" applyFill="1" applyBorder="1" applyAlignment="1">
      <alignment horizontal="center" vertical="top"/>
    </xf>
    <xf numFmtId="170" fontId="4" fillId="6" borderId="14" xfId="0" applyNumberFormat="1" applyFont="1" applyFill="1" applyBorder="1" applyAlignment="1">
      <alignment horizontal="center" vertical="top"/>
    </xf>
    <xf numFmtId="166" fontId="8" fillId="19" borderId="14" xfId="3" applyNumberFormat="1" applyFont="1" applyFill="1" applyBorder="1" applyAlignment="1">
      <alignment horizontal="center" vertical="top" wrapText="1"/>
    </xf>
    <xf numFmtId="0" fontId="8" fillId="19" borderId="14" xfId="3" applyFont="1" applyFill="1" applyBorder="1" applyAlignment="1">
      <alignment horizontal="center" vertical="top" wrapText="1"/>
    </xf>
    <xf numFmtId="170" fontId="4" fillId="6" borderId="14" xfId="0" applyNumberFormat="1" applyFont="1" applyFill="1" applyBorder="1" applyAlignment="1">
      <alignment horizontal="center"/>
    </xf>
    <xf numFmtId="2" fontId="5" fillId="6" borderId="14" xfId="0" applyNumberFormat="1" applyFont="1" applyFill="1" applyBorder="1" applyAlignment="1">
      <alignment horizontal="left" vertical="top"/>
    </xf>
    <xf numFmtId="169" fontId="4" fillId="5" borderId="14" xfId="0" applyNumberFormat="1" applyFont="1" applyFill="1" applyBorder="1" applyAlignment="1">
      <alignment horizontal="center" vertical="top"/>
    </xf>
    <xf numFmtId="2" fontId="4" fillId="5" borderId="14" xfId="0" applyNumberFormat="1" applyFont="1" applyFill="1" applyBorder="1" applyAlignment="1">
      <alignment vertical="top"/>
    </xf>
    <xf numFmtId="2" fontId="4" fillId="6" borderId="14" xfId="0" applyNumberFormat="1" applyFont="1" applyFill="1" applyBorder="1" applyAlignment="1">
      <alignment vertical="top"/>
    </xf>
    <xf numFmtId="41" fontId="4" fillId="5" borderId="14" xfId="14" applyFont="1" applyFill="1" applyBorder="1" applyAlignment="1">
      <alignment vertical="top"/>
    </xf>
    <xf numFmtId="41" fontId="4" fillId="5" borderId="14" xfId="14" applyFont="1" applyFill="1" applyBorder="1" applyAlignment="1">
      <alignment horizontal="left" vertical="top"/>
    </xf>
    <xf numFmtId="41" fontId="4" fillId="5" borderId="14" xfId="14" applyFont="1" applyFill="1" applyBorder="1" applyAlignment="1">
      <alignment horizontal="center" vertical="top"/>
    </xf>
    <xf numFmtId="1" fontId="21" fillId="5" borderId="14" xfId="0" applyNumberFormat="1" applyFont="1" applyFill="1" applyBorder="1" applyAlignment="1">
      <alignment horizontal="center" vertical="top"/>
    </xf>
    <xf numFmtId="0" fontId="5" fillId="19" borderId="14" xfId="0" applyFont="1" applyFill="1" applyBorder="1" applyAlignment="1">
      <alignment horizontal="center" vertical="top"/>
    </xf>
    <xf numFmtId="164" fontId="5" fillId="19" borderId="14" xfId="0" applyNumberFormat="1" applyFont="1" applyFill="1" applyBorder="1" applyAlignment="1">
      <alignment horizontal="left" vertical="top"/>
    </xf>
    <xf numFmtId="1" fontId="4" fillId="19" borderId="14" xfId="0" applyNumberFormat="1" applyFont="1" applyFill="1" applyBorder="1" applyAlignment="1">
      <alignment horizontal="center" vertical="top"/>
    </xf>
    <xf numFmtId="2" fontId="4" fillId="19" borderId="14" xfId="0" applyNumberFormat="1" applyFont="1" applyFill="1" applyBorder="1" applyAlignment="1">
      <alignment horizontal="center" vertical="top"/>
    </xf>
    <xf numFmtId="164" fontId="5" fillId="8" borderId="14" xfId="0" applyNumberFormat="1" applyFont="1" applyFill="1" applyBorder="1" applyAlignment="1">
      <alignment horizontal="left" vertical="top"/>
    </xf>
    <xf numFmtId="164" fontId="5" fillId="8" borderId="14" xfId="0" applyNumberFormat="1" applyFont="1" applyFill="1" applyBorder="1" applyAlignment="1">
      <alignment horizontal="center" vertical="top"/>
    </xf>
    <xf numFmtId="169" fontId="6" fillId="5" borderId="14" xfId="0" applyNumberFormat="1" applyFont="1" applyFill="1" applyBorder="1" applyAlignment="1">
      <alignment horizontal="left" vertical="top"/>
    </xf>
    <xf numFmtId="169" fontId="4" fillId="5" borderId="14" xfId="0" applyNumberFormat="1" applyFont="1" applyFill="1" applyBorder="1" applyAlignment="1">
      <alignment horizontal="left" vertical="top"/>
    </xf>
    <xf numFmtId="171" fontId="4" fillId="5" borderId="14" xfId="0" applyNumberFormat="1" applyFont="1" applyFill="1" applyBorder="1" applyAlignment="1">
      <alignment horizontal="left" vertical="top"/>
    </xf>
    <xf numFmtId="2" fontId="4" fillId="19" borderId="14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4" fillId="12" borderId="13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164" fontId="5" fillId="0" borderId="14" xfId="0" applyNumberFormat="1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left" vertical="top" wrapText="1"/>
    </xf>
    <xf numFmtId="0" fontId="4" fillId="17" borderId="20" xfId="0" applyFont="1" applyFill="1" applyBorder="1" applyAlignment="1">
      <alignment horizontal="left" vertical="top" wrapText="1"/>
    </xf>
    <xf numFmtId="0" fontId="1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</cellXfs>
  <cellStyles count="15">
    <cellStyle name="Comma [0]" xfId="14" builtinId="6"/>
    <cellStyle name="Comma 2" xfId="7" xr:uid="{00000000-0005-0000-0000-000001000000}"/>
    <cellStyle name="Comma 2 3" xfId="4" xr:uid="{00000000-0005-0000-0000-000002000000}"/>
    <cellStyle name="Comma 2 4" xfId="11" xr:uid="{00000000-0005-0000-0000-000003000000}"/>
    <cellStyle name="Normal" xfId="0" builtinId="0"/>
    <cellStyle name="Normal 2 2" xfId="12" xr:uid="{00000000-0005-0000-0000-000005000000}"/>
    <cellStyle name="Normal 2 2 2 2" xfId="2" xr:uid="{00000000-0005-0000-0000-000006000000}"/>
    <cellStyle name="Normal 2 2 2 2 3" xfId="10" xr:uid="{00000000-0005-0000-0000-000007000000}"/>
    <cellStyle name="Normal 2 2 3 2" xfId="5" xr:uid="{00000000-0005-0000-0000-000008000000}"/>
    <cellStyle name="Normal 2 4" xfId="3" xr:uid="{00000000-0005-0000-0000-000009000000}"/>
    <cellStyle name="Normal 2 6 2" xfId="9" xr:uid="{00000000-0005-0000-0000-00000A000000}"/>
    <cellStyle name="Normal 2 6 2 2 2" xfId="13" xr:uid="{00000000-0005-0000-0000-00000B000000}"/>
    <cellStyle name="Normal 3 2" xfId="6" xr:uid="{00000000-0005-0000-0000-00000C000000}"/>
    <cellStyle name="Normal 4 2 2" xfId="8" xr:uid="{00000000-0005-0000-0000-00000D000000}"/>
    <cellStyle name="Percent" xfId="1" builtinId="5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2324100</xdr:colOff>
      <xdr:row>156</xdr:row>
      <xdr:rowOff>304800</xdr:rowOff>
    </xdr:from>
    <xdr:to>
      <xdr:col>25</xdr:col>
      <xdr:colOff>533400</xdr:colOff>
      <xdr:row>164</xdr:row>
      <xdr:rowOff>278457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791B82-3F20-9609-6D92-CAF6AA4AC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82200" y="300761400"/>
          <a:ext cx="5067300" cy="3859857"/>
        </a:xfrm>
        <a:prstGeom prst="rect">
          <a:avLst/>
        </a:prstGeom>
      </xdr:spPr>
    </xdr:pic>
    <xdr:clientData/>
  </xdr:twoCellAnchor>
  <xdr:twoCellAnchor editAs="oneCell">
    <xdr:from>
      <xdr:col>22</xdr:col>
      <xdr:colOff>2246656</xdr:colOff>
      <xdr:row>158</xdr:row>
      <xdr:rowOff>112772</xdr:rowOff>
    </xdr:from>
    <xdr:to>
      <xdr:col>24</xdr:col>
      <xdr:colOff>911837</xdr:colOff>
      <xdr:row>164</xdr:row>
      <xdr:rowOff>570334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9BFF7D-8B47-4E55-9458-0ACE5C3CA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175008">
          <a:off x="47942844" y="301031335"/>
          <a:ext cx="2665681" cy="3219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view="pageBreakPreview" topLeftCell="A5" zoomScale="20" zoomScaleNormal="110" zoomScaleSheetLayoutView="20" workbookViewId="0">
      <pane ySplit="4" topLeftCell="A142" activePane="bottomLeft" state="frozen"/>
      <selection activeCell="C5" sqref="C5"/>
      <selection pane="bottomLeft" activeCell="Z152" sqref="Z152"/>
    </sheetView>
  </sheetViews>
  <sheetFormatPr defaultColWidth="9.140625" defaultRowHeight="25.5" x14ac:dyDescent="0.35"/>
  <cols>
    <col min="1" max="1" width="7.42578125" style="1" customWidth="1"/>
    <col min="2" max="2" width="39.28515625" style="1" customWidth="1"/>
    <col min="3" max="3" width="61.85546875" style="1" customWidth="1"/>
    <col min="4" max="4" width="56.42578125" style="1" customWidth="1"/>
    <col min="5" max="5" width="14.85546875" style="1" customWidth="1"/>
    <col min="6" max="6" width="20.7109375" style="3" customWidth="1"/>
    <col min="7" max="7" width="45" style="1" customWidth="1"/>
    <col min="8" max="8" width="16.42578125" style="139" customWidth="1"/>
    <col min="9" max="9" width="18.85546875" style="139" customWidth="1"/>
    <col min="10" max="10" width="44.28515625" style="139" customWidth="1"/>
    <col min="11" max="11" width="17.85546875" style="1" customWidth="1"/>
    <col min="12" max="12" width="19.7109375" style="1" customWidth="1"/>
    <col min="13" max="13" width="45.140625" style="1" customWidth="1"/>
    <col min="14" max="14" width="14.5703125" style="153" customWidth="1"/>
    <col min="15" max="15" width="40.42578125" style="154" customWidth="1"/>
    <col min="16" max="16" width="17.28515625" style="153" customWidth="1"/>
    <col min="17" max="17" width="43.42578125" style="153" customWidth="1"/>
    <col min="18" max="18" width="16.5703125" style="153" customWidth="1"/>
    <col min="19" max="19" width="38.140625" style="153" customWidth="1"/>
    <col min="20" max="20" width="20.42578125" style="195" customWidth="1"/>
    <col min="21" max="21" width="37.7109375" style="153" customWidth="1"/>
    <col min="22" max="22" width="21.85546875" style="155" customWidth="1"/>
    <col min="23" max="23" width="42.42578125" style="156" customWidth="1"/>
    <col min="24" max="24" width="17.5703125" style="5" customWidth="1"/>
    <col min="25" max="25" width="42.85546875" style="1" customWidth="1"/>
    <col min="26" max="26" width="32.28515625" style="1" customWidth="1"/>
    <col min="27" max="27" width="39.28515625" style="1" customWidth="1"/>
    <col min="28" max="28" width="13.5703125" style="1" customWidth="1"/>
    <col min="29" max="29" width="104.5703125" style="1" customWidth="1"/>
    <col min="30" max="16384" width="9.140625" style="1"/>
  </cols>
  <sheetData>
    <row r="1" spans="1:29" s="157" customFormat="1" ht="35.25" x14ac:dyDescent="0.5">
      <c r="A1" s="288" t="s">
        <v>210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</row>
    <row r="2" spans="1:29" s="157" customFormat="1" ht="35.25" x14ac:dyDescent="0.5">
      <c r="A2" s="288" t="s">
        <v>209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</row>
    <row r="3" spans="1:29" s="157" customFormat="1" ht="35.25" x14ac:dyDescent="0.5">
      <c r="A3" s="288" t="s">
        <v>211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</row>
    <row r="4" spans="1:29" ht="26.25" thickBot="1" x14ac:dyDescent="0.4">
      <c r="H4" s="1"/>
      <c r="I4" s="1"/>
      <c r="J4" s="1"/>
      <c r="N4" s="1"/>
      <c r="O4" s="1"/>
      <c r="P4" s="1"/>
      <c r="Q4" s="4"/>
      <c r="R4" s="1"/>
      <c r="S4" s="1"/>
      <c r="T4" s="5"/>
      <c r="U4" s="1"/>
      <c r="V4" s="5"/>
      <c r="W4" s="1"/>
    </row>
    <row r="5" spans="1:29" s="6" customFormat="1" ht="78" customHeight="1" x14ac:dyDescent="0.25">
      <c r="A5" s="289" t="s">
        <v>0</v>
      </c>
      <c r="B5" s="279" t="s">
        <v>1</v>
      </c>
      <c r="C5" s="279" t="s">
        <v>2</v>
      </c>
      <c r="D5" s="279" t="s">
        <v>3</v>
      </c>
      <c r="E5" s="279" t="s">
        <v>4</v>
      </c>
      <c r="F5" s="279"/>
      <c r="G5" s="279"/>
      <c r="H5" s="279" t="s">
        <v>5</v>
      </c>
      <c r="I5" s="279"/>
      <c r="J5" s="279"/>
      <c r="K5" s="279" t="s">
        <v>212</v>
      </c>
      <c r="L5" s="279"/>
      <c r="M5" s="279"/>
      <c r="N5" s="291" t="s">
        <v>6</v>
      </c>
      <c r="O5" s="291"/>
      <c r="P5" s="291"/>
      <c r="Q5" s="291"/>
      <c r="R5" s="291"/>
      <c r="S5" s="291"/>
      <c r="T5" s="291"/>
      <c r="U5" s="291"/>
      <c r="V5" s="279" t="s">
        <v>213</v>
      </c>
      <c r="W5" s="279"/>
      <c r="X5" s="279" t="s">
        <v>7</v>
      </c>
      <c r="Y5" s="279"/>
      <c r="Z5" s="279" t="s">
        <v>8</v>
      </c>
      <c r="AA5" s="279"/>
      <c r="AB5" s="281" t="s">
        <v>9</v>
      </c>
      <c r="AC5" s="283" t="s">
        <v>293</v>
      </c>
    </row>
    <row r="6" spans="1:29" s="6" customFormat="1" ht="53.25" customHeight="1" x14ac:dyDescent="0.25">
      <c r="A6" s="29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2" t="s">
        <v>10</v>
      </c>
      <c r="O6" s="282"/>
      <c r="P6" s="282" t="s">
        <v>11</v>
      </c>
      <c r="Q6" s="282"/>
      <c r="R6" s="282" t="s">
        <v>12</v>
      </c>
      <c r="S6" s="282"/>
      <c r="T6" s="282" t="s">
        <v>13</v>
      </c>
      <c r="U6" s="282"/>
      <c r="V6" s="280"/>
      <c r="W6" s="280"/>
      <c r="X6" s="280"/>
      <c r="Y6" s="280"/>
      <c r="Z6" s="280"/>
      <c r="AA6" s="280"/>
      <c r="AB6" s="273"/>
      <c r="AC6" s="284"/>
    </row>
    <row r="7" spans="1:29" s="6" customFormat="1" ht="22.15" customHeight="1" x14ac:dyDescent="0.25">
      <c r="A7" s="277">
        <v>1</v>
      </c>
      <c r="B7" s="272">
        <v>2</v>
      </c>
      <c r="C7" s="272">
        <v>3</v>
      </c>
      <c r="D7" s="272">
        <v>4</v>
      </c>
      <c r="E7" s="272">
        <v>5</v>
      </c>
      <c r="F7" s="272"/>
      <c r="G7" s="272"/>
      <c r="H7" s="272">
        <v>6</v>
      </c>
      <c r="I7" s="272"/>
      <c r="J7" s="272"/>
      <c r="K7" s="272">
        <v>7</v>
      </c>
      <c r="L7" s="272"/>
      <c r="M7" s="272"/>
      <c r="N7" s="276">
        <v>8</v>
      </c>
      <c r="O7" s="276"/>
      <c r="P7" s="276">
        <v>9</v>
      </c>
      <c r="Q7" s="276"/>
      <c r="R7" s="276">
        <v>10</v>
      </c>
      <c r="S7" s="276"/>
      <c r="T7" s="276">
        <v>11</v>
      </c>
      <c r="U7" s="276"/>
      <c r="V7" s="272">
        <v>12</v>
      </c>
      <c r="W7" s="272"/>
      <c r="X7" s="272" t="s">
        <v>14</v>
      </c>
      <c r="Y7" s="272"/>
      <c r="Z7" s="272" t="s">
        <v>15</v>
      </c>
      <c r="AA7" s="272"/>
      <c r="AB7" s="273">
        <v>15</v>
      </c>
      <c r="AC7" s="285"/>
    </row>
    <row r="8" spans="1:29" s="2" customFormat="1" ht="26.25" x14ac:dyDescent="0.4">
      <c r="A8" s="278"/>
      <c r="B8" s="272"/>
      <c r="C8" s="272"/>
      <c r="D8" s="272"/>
      <c r="E8" s="274" t="s">
        <v>16</v>
      </c>
      <c r="F8" s="275"/>
      <c r="G8" s="7" t="s">
        <v>17</v>
      </c>
      <c r="H8" s="274" t="s">
        <v>16</v>
      </c>
      <c r="I8" s="275"/>
      <c r="J8" s="7" t="s">
        <v>17</v>
      </c>
      <c r="K8" s="274" t="s">
        <v>16</v>
      </c>
      <c r="L8" s="275"/>
      <c r="M8" s="7" t="s">
        <v>17</v>
      </c>
      <c r="N8" s="8" t="s">
        <v>16</v>
      </c>
      <c r="O8" s="8" t="s">
        <v>17</v>
      </c>
      <c r="P8" s="8" t="s">
        <v>16</v>
      </c>
      <c r="Q8" s="8" t="s">
        <v>17</v>
      </c>
      <c r="R8" s="8" t="s">
        <v>16</v>
      </c>
      <c r="S8" s="8" t="s">
        <v>17</v>
      </c>
      <c r="T8" s="8" t="s">
        <v>16</v>
      </c>
      <c r="U8" s="8" t="s">
        <v>17</v>
      </c>
      <c r="V8" s="7" t="s">
        <v>16</v>
      </c>
      <c r="W8" s="7" t="s">
        <v>17</v>
      </c>
      <c r="X8" s="7" t="s">
        <v>16</v>
      </c>
      <c r="Y8" s="7" t="s">
        <v>17</v>
      </c>
      <c r="Z8" s="7" t="s">
        <v>16</v>
      </c>
      <c r="AA8" s="7" t="s">
        <v>17</v>
      </c>
      <c r="AB8" s="273"/>
      <c r="AC8" s="284"/>
    </row>
    <row r="9" spans="1:29" s="9" customFormat="1" ht="187.5" customHeight="1" x14ac:dyDescent="0.4">
      <c r="A9" s="158">
        <v>1</v>
      </c>
      <c r="B9" s="286" t="s">
        <v>18</v>
      </c>
      <c r="C9" s="286" t="s">
        <v>292</v>
      </c>
      <c r="D9" s="159" t="s">
        <v>19</v>
      </c>
      <c r="E9" s="160">
        <v>4.87</v>
      </c>
      <c r="F9" s="161" t="s">
        <v>20</v>
      </c>
      <c r="G9" s="162">
        <v>361894900</v>
      </c>
      <c r="H9" s="160">
        <v>4.87</v>
      </c>
      <c r="I9" s="160" t="s">
        <v>20</v>
      </c>
      <c r="J9" s="163">
        <v>338807400</v>
      </c>
      <c r="K9" s="160"/>
      <c r="L9" s="161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0"/>
      <c r="Y9" s="162"/>
      <c r="Z9" s="165"/>
      <c r="AA9" s="166"/>
      <c r="AB9" s="167"/>
      <c r="AC9" s="209"/>
    </row>
    <row r="10" spans="1:29" s="9" customFormat="1" ht="238.5" customHeight="1" x14ac:dyDescent="0.4">
      <c r="A10" s="168"/>
      <c r="B10" s="287"/>
      <c r="C10" s="287"/>
      <c r="D10" s="169" t="s">
        <v>21</v>
      </c>
      <c r="E10" s="170">
        <v>42.17</v>
      </c>
      <c r="F10" s="171" t="s">
        <v>20</v>
      </c>
      <c r="G10" s="172">
        <v>1767239500</v>
      </c>
      <c r="H10" s="170"/>
      <c r="I10" s="170"/>
      <c r="J10" s="173"/>
      <c r="K10" s="170">
        <v>30.57</v>
      </c>
      <c r="L10" s="171" t="s">
        <v>20</v>
      </c>
      <c r="M10" s="172">
        <f>M12</f>
        <v>435837400</v>
      </c>
      <c r="N10" s="170">
        <v>0</v>
      </c>
      <c r="O10" s="172">
        <f>O12</f>
        <v>0</v>
      </c>
      <c r="P10" s="170">
        <v>0</v>
      </c>
      <c r="Q10" s="172">
        <f>Q12</f>
        <v>0</v>
      </c>
      <c r="R10" s="174">
        <v>0</v>
      </c>
      <c r="S10" s="172">
        <f>S12</f>
        <v>0</v>
      </c>
      <c r="T10" s="174">
        <v>0</v>
      </c>
      <c r="U10" s="172">
        <f>U12</f>
        <v>0</v>
      </c>
      <c r="V10" s="174">
        <f>N10+P10+R10+T10</f>
        <v>0</v>
      </c>
      <c r="W10" s="172">
        <f>O10+Q10+S10+U10</f>
        <v>0</v>
      </c>
      <c r="X10" s="174">
        <f>H10+V10</f>
        <v>0</v>
      </c>
      <c r="Y10" s="172">
        <f>J10+W10</f>
        <v>0</v>
      </c>
      <c r="Z10" s="174">
        <f>(X10/E10)*100</f>
        <v>0</v>
      </c>
      <c r="AA10" s="174">
        <f>(Y10/G10)*100</f>
        <v>0</v>
      </c>
      <c r="AB10" s="176"/>
      <c r="AC10" s="210"/>
    </row>
    <row r="11" spans="1:29" s="20" customFormat="1" ht="254.25" customHeight="1" x14ac:dyDescent="0.4">
      <c r="A11" s="10"/>
      <c r="B11" s="11"/>
      <c r="C11" s="12" t="s">
        <v>22</v>
      </c>
      <c r="D11" s="12" t="s">
        <v>23</v>
      </c>
      <c r="E11" s="13">
        <v>9.74</v>
      </c>
      <c r="F11" s="14" t="s">
        <v>20</v>
      </c>
      <c r="G11" s="15">
        <v>361894900</v>
      </c>
      <c r="H11" s="13">
        <v>9.74</v>
      </c>
      <c r="I11" s="13" t="s">
        <v>20</v>
      </c>
      <c r="J11" s="16">
        <v>338807400</v>
      </c>
      <c r="K11" s="17"/>
      <c r="L11" s="14"/>
      <c r="M11" s="15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9"/>
      <c r="AC11" s="211"/>
    </row>
    <row r="12" spans="1:29" s="20" customFormat="1" ht="255.75" customHeight="1" x14ac:dyDescent="0.4">
      <c r="A12" s="10"/>
      <c r="B12" s="11"/>
      <c r="C12" s="12"/>
      <c r="D12" s="12" t="s">
        <v>24</v>
      </c>
      <c r="E12" s="21">
        <v>27.5</v>
      </c>
      <c r="F12" s="13" t="s">
        <v>20</v>
      </c>
      <c r="G12" s="16">
        <v>1767239500</v>
      </c>
      <c r="H12" s="13"/>
      <c r="I12" s="13"/>
      <c r="J12" s="16"/>
      <c r="K12" s="13">
        <v>27.54</v>
      </c>
      <c r="L12" s="14" t="s">
        <v>20</v>
      </c>
      <c r="M12" s="15">
        <f>M16</f>
        <v>435837400</v>
      </c>
      <c r="N12" s="13">
        <v>0</v>
      </c>
      <c r="O12" s="15">
        <f>O16</f>
        <v>0</v>
      </c>
      <c r="P12" s="13">
        <v>0</v>
      </c>
      <c r="Q12" s="15">
        <f>Q15</f>
        <v>0</v>
      </c>
      <c r="R12" s="13">
        <v>0</v>
      </c>
      <c r="S12" s="15">
        <f>S15</f>
        <v>0</v>
      </c>
      <c r="T12" s="21">
        <v>0</v>
      </c>
      <c r="U12" s="15">
        <f>U13+U14+U15</f>
        <v>0</v>
      </c>
      <c r="V12" s="21">
        <f>N12+P12+R12+T12</f>
        <v>0</v>
      </c>
      <c r="W12" s="15">
        <f>O12+Q12+S12+U12</f>
        <v>0</v>
      </c>
      <c r="X12" s="21">
        <f>H12+V12</f>
        <v>0</v>
      </c>
      <c r="Y12" s="15">
        <f>J12+W12</f>
        <v>0</v>
      </c>
      <c r="Z12" s="21">
        <f>(X12/E12)*100</f>
        <v>0</v>
      </c>
      <c r="AA12" s="21">
        <f>(Y12/G12)*100</f>
        <v>0</v>
      </c>
      <c r="AB12" s="22"/>
      <c r="AC12" s="211"/>
    </row>
    <row r="13" spans="1:29" s="38" customFormat="1" ht="233.25" customHeight="1" x14ac:dyDescent="0.4">
      <c r="A13" s="23"/>
      <c r="B13" s="24"/>
      <c r="C13" s="25" t="s">
        <v>25</v>
      </c>
      <c r="D13" s="25" t="s">
        <v>26</v>
      </c>
      <c r="E13" s="26">
        <v>3</v>
      </c>
      <c r="F13" s="27" t="s">
        <v>27</v>
      </c>
      <c r="G13" s="28">
        <v>22000000</v>
      </c>
      <c r="H13" s="29">
        <v>3</v>
      </c>
      <c r="I13" s="25" t="s">
        <v>27</v>
      </c>
      <c r="J13" s="30">
        <v>22000000</v>
      </c>
      <c r="K13" s="25"/>
      <c r="L13" s="31"/>
      <c r="M13" s="30"/>
      <c r="N13" s="29"/>
      <c r="O13" s="30"/>
      <c r="P13" s="29"/>
      <c r="Q13" s="30"/>
      <c r="R13" s="32"/>
      <c r="S13" s="32"/>
      <c r="T13" s="33"/>
      <c r="U13" s="32"/>
      <c r="V13" s="33"/>
      <c r="W13" s="34"/>
      <c r="X13" s="33"/>
      <c r="Y13" s="34"/>
      <c r="Z13" s="35"/>
      <c r="AA13" s="36"/>
      <c r="AB13" s="37"/>
      <c r="AC13" s="212"/>
    </row>
    <row r="14" spans="1:29" s="38" customFormat="1" ht="202.5" customHeight="1" x14ac:dyDescent="0.4">
      <c r="A14" s="23"/>
      <c r="B14" s="24"/>
      <c r="C14" s="25" t="s">
        <v>28</v>
      </c>
      <c r="D14" s="25" t="s">
        <v>29</v>
      </c>
      <c r="E14" s="27">
        <v>90</v>
      </c>
      <c r="F14" s="31" t="s">
        <v>30</v>
      </c>
      <c r="G14" s="30">
        <v>361894900</v>
      </c>
      <c r="H14" s="29">
        <v>90</v>
      </c>
      <c r="I14" s="25" t="s">
        <v>31</v>
      </c>
      <c r="J14" s="30">
        <v>338807400</v>
      </c>
      <c r="K14" s="39"/>
      <c r="L14" s="39"/>
      <c r="M14" s="39"/>
      <c r="N14" s="29"/>
      <c r="O14" s="30"/>
      <c r="P14" s="29"/>
      <c r="Q14" s="30"/>
      <c r="R14" s="29"/>
      <c r="S14" s="30"/>
      <c r="T14" s="29"/>
      <c r="U14" s="30"/>
      <c r="V14" s="39"/>
      <c r="W14" s="39"/>
      <c r="X14" s="39"/>
      <c r="Y14" s="39"/>
      <c r="Z14" s="39"/>
      <c r="AA14" s="39"/>
      <c r="AB14" s="40"/>
      <c r="AC14" s="212"/>
    </row>
    <row r="15" spans="1:29" s="38" customFormat="1" ht="183" customHeight="1" x14ac:dyDescent="0.4">
      <c r="A15" s="23"/>
      <c r="B15" s="24"/>
      <c r="C15" s="25"/>
      <c r="D15" s="25" t="s">
        <v>32</v>
      </c>
      <c r="E15" s="27">
        <v>450</v>
      </c>
      <c r="F15" s="31" t="s">
        <v>33</v>
      </c>
      <c r="G15" s="30"/>
      <c r="H15" s="29"/>
      <c r="I15" s="25"/>
      <c r="J15" s="30"/>
      <c r="K15" s="27">
        <v>90</v>
      </c>
      <c r="L15" s="31" t="s">
        <v>31</v>
      </c>
      <c r="M15" s="30">
        <v>230533400</v>
      </c>
      <c r="N15" s="29"/>
      <c r="O15" s="30"/>
      <c r="P15" s="29"/>
      <c r="Q15" s="30"/>
      <c r="R15" s="29"/>
      <c r="S15" s="30"/>
      <c r="T15" s="29"/>
      <c r="U15" s="30"/>
      <c r="V15" s="29"/>
      <c r="W15" s="30"/>
      <c r="X15" s="29"/>
      <c r="Y15" s="30"/>
      <c r="Z15" s="41"/>
      <c r="AA15" s="41"/>
      <c r="AB15" s="42"/>
      <c r="AC15" s="212"/>
    </row>
    <row r="16" spans="1:29" s="38" customFormat="1" ht="183" customHeight="1" x14ac:dyDescent="0.4">
      <c r="A16" s="23"/>
      <c r="B16" s="24"/>
      <c r="C16" s="197" t="s">
        <v>290</v>
      </c>
      <c r="D16" s="25" t="s">
        <v>291</v>
      </c>
      <c r="E16" s="27">
        <v>450</v>
      </c>
      <c r="F16" s="31" t="s">
        <v>33</v>
      </c>
      <c r="G16" s="30">
        <v>1767239500</v>
      </c>
      <c r="H16" s="29"/>
      <c r="I16" s="25"/>
      <c r="J16" s="30"/>
      <c r="K16" s="27">
        <v>90</v>
      </c>
      <c r="L16" s="31" t="s">
        <v>33</v>
      </c>
      <c r="M16" s="30">
        <v>435837400</v>
      </c>
      <c r="N16" s="29">
        <v>0</v>
      </c>
      <c r="O16" s="30">
        <f>0+0+0</f>
        <v>0</v>
      </c>
      <c r="P16" s="29"/>
      <c r="Q16" s="30"/>
      <c r="R16" s="29"/>
      <c r="S16" s="30"/>
      <c r="T16" s="29"/>
      <c r="U16" s="30"/>
      <c r="V16" s="29">
        <f>N16+P16+R16+T16</f>
        <v>0</v>
      </c>
      <c r="W16" s="30">
        <f>O16+Q16+S16+U16</f>
        <v>0</v>
      </c>
      <c r="X16" s="29">
        <f>H16+V16</f>
        <v>0</v>
      </c>
      <c r="Y16" s="30">
        <f>J16+W16</f>
        <v>0</v>
      </c>
      <c r="Z16" s="41">
        <f>(X16/E16)*100</f>
        <v>0</v>
      </c>
      <c r="AA16" s="41">
        <f>(Y16/G16)*100</f>
        <v>0</v>
      </c>
      <c r="AB16" s="42"/>
      <c r="AC16" s="212"/>
    </row>
    <row r="17" spans="1:29" s="38" customFormat="1" ht="51" customHeight="1" x14ac:dyDescent="0.4">
      <c r="A17" s="23"/>
      <c r="B17" s="24"/>
      <c r="C17" s="25"/>
      <c r="D17" s="25"/>
      <c r="E17" s="43"/>
      <c r="F17" s="44"/>
      <c r="G17" s="34"/>
      <c r="H17" s="32"/>
      <c r="I17" s="32"/>
      <c r="J17" s="34"/>
      <c r="K17" s="45"/>
      <c r="L17" s="44"/>
      <c r="M17" s="34"/>
      <c r="N17" s="33"/>
      <c r="O17" s="34"/>
      <c r="P17" s="32"/>
      <c r="Q17" s="34"/>
      <c r="R17" s="32"/>
      <c r="S17" s="32"/>
      <c r="T17" s="33"/>
      <c r="U17" s="32"/>
      <c r="V17" s="33"/>
      <c r="W17" s="34"/>
      <c r="X17" s="33"/>
      <c r="Y17" s="34"/>
      <c r="Z17" s="46">
        <f>Z16</f>
        <v>0</v>
      </c>
      <c r="AA17" s="46">
        <f>AA16</f>
        <v>0</v>
      </c>
      <c r="AB17" s="37"/>
      <c r="AC17" s="212"/>
    </row>
    <row r="18" spans="1:29" s="9" customFormat="1" ht="102.75" customHeight="1" x14ac:dyDescent="0.4">
      <c r="A18" s="177">
        <v>2</v>
      </c>
      <c r="B18" s="178"/>
      <c r="C18" s="169" t="s">
        <v>34</v>
      </c>
      <c r="D18" s="169" t="s">
        <v>35</v>
      </c>
      <c r="E18" s="170">
        <v>73.25</v>
      </c>
      <c r="F18" s="171" t="s">
        <v>20</v>
      </c>
      <c r="G18" s="172">
        <v>697261250</v>
      </c>
      <c r="H18" s="170">
        <v>70</v>
      </c>
      <c r="I18" s="170" t="s">
        <v>20</v>
      </c>
      <c r="J18" s="172">
        <v>638830250</v>
      </c>
      <c r="K18" s="170"/>
      <c r="L18" s="171"/>
      <c r="M18" s="172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80"/>
      <c r="AC18" s="210"/>
    </row>
    <row r="19" spans="1:29" s="9" customFormat="1" ht="162" customHeight="1" x14ac:dyDescent="0.4">
      <c r="A19" s="168"/>
      <c r="B19" s="178"/>
      <c r="C19" s="169"/>
      <c r="D19" s="169" t="s">
        <v>36</v>
      </c>
      <c r="E19" s="174">
        <v>31.9</v>
      </c>
      <c r="F19" s="171" t="s">
        <v>20</v>
      </c>
      <c r="G19" s="172">
        <v>1850640000</v>
      </c>
      <c r="H19" s="170"/>
      <c r="I19" s="170"/>
      <c r="J19" s="194"/>
      <c r="K19" s="174">
        <v>20.5</v>
      </c>
      <c r="L19" s="171" t="s">
        <v>20</v>
      </c>
      <c r="M19" s="172">
        <f>M20</f>
        <v>422725000</v>
      </c>
      <c r="N19" s="170">
        <v>0</v>
      </c>
      <c r="O19" s="172">
        <f>O20</f>
        <v>0</v>
      </c>
      <c r="P19" s="174"/>
      <c r="Q19" s="172"/>
      <c r="R19" s="174"/>
      <c r="S19" s="172"/>
      <c r="T19" s="174"/>
      <c r="U19" s="172"/>
      <c r="V19" s="174">
        <f>N19+P19+R19+T19</f>
        <v>0</v>
      </c>
      <c r="W19" s="172">
        <f>O19+Q19+S19+U19</f>
        <v>0</v>
      </c>
      <c r="X19" s="174">
        <f>H19+V19</f>
        <v>0</v>
      </c>
      <c r="Y19" s="172">
        <f>J19+W19</f>
        <v>0</v>
      </c>
      <c r="Z19" s="182">
        <f>(X19/E19)*100</f>
        <v>0</v>
      </c>
      <c r="AA19" s="174">
        <f>(Y19/G19)*100</f>
        <v>0</v>
      </c>
      <c r="AB19" s="176"/>
      <c r="AC19" s="210"/>
    </row>
    <row r="20" spans="1:29" s="56" customFormat="1" ht="248.25" customHeight="1" x14ac:dyDescent="0.4">
      <c r="A20" s="47"/>
      <c r="B20" s="11"/>
      <c r="C20" s="48" t="s">
        <v>37</v>
      </c>
      <c r="D20" s="48" t="s">
        <v>38</v>
      </c>
      <c r="E20" s="49">
        <v>33.9</v>
      </c>
      <c r="F20" s="50" t="s">
        <v>20</v>
      </c>
      <c r="G20" s="51">
        <v>2085410000</v>
      </c>
      <c r="H20" s="49">
        <v>12.9</v>
      </c>
      <c r="I20" s="52" t="s">
        <v>20</v>
      </c>
      <c r="J20" s="51">
        <v>638830250</v>
      </c>
      <c r="K20" s="49">
        <v>23.2</v>
      </c>
      <c r="L20" s="50" t="s">
        <v>20</v>
      </c>
      <c r="M20" s="51">
        <f>M22</f>
        <v>422725000</v>
      </c>
      <c r="N20" s="49">
        <v>0</v>
      </c>
      <c r="O20" s="51">
        <f>O22</f>
        <v>0</v>
      </c>
      <c r="P20" s="49"/>
      <c r="Q20" s="51"/>
      <c r="R20" s="49"/>
      <c r="S20" s="51"/>
      <c r="T20" s="49"/>
      <c r="U20" s="51"/>
      <c r="V20" s="49">
        <f>N20+P20+R20+T20</f>
        <v>0</v>
      </c>
      <c r="W20" s="51">
        <f>O20+Q20+S20+U20</f>
        <v>0</v>
      </c>
      <c r="X20" s="49">
        <f>H20+V20</f>
        <v>12.9</v>
      </c>
      <c r="Y20" s="51">
        <f>J20+W20</f>
        <v>638830250</v>
      </c>
      <c r="Z20" s="54">
        <f>(X20/E20)*100</f>
        <v>38.053097345132748</v>
      </c>
      <c r="AA20" s="49">
        <f>(Y20/G20)*100</f>
        <v>30.633316709903568</v>
      </c>
      <c r="AB20" s="55"/>
      <c r="AC20" s="213"/>
    </row>
    <row r="21" spans="1:29" s="38" customFormat="1" ht="185.25" customHeight="1" x14ac:dyDescent="0.4">
      <c r="A21" s="23"/>
      <c r="B21" s="24"/>
      <c r="C21" s="197" t="s">
        <v>39</v>
      </c>
      <c r="D21" s="25" t="s">
        <v>40</v>
      </c>
      <c r="E21" s="57">
        <v>210</v>
      </c>
      <c r="F21" s="57" t="s">
        <v>41</v>
      </c>
      <c r="G21" s="58">
        <v>234770000</v>
      </c>
      <c r="H21" s="29">
        <v>210</v>
      </c>
      <c r="I21" s="29" t="s">
        <v>42</v>
      </c>
      <c r="J21" s="30">
        <v>638830250</v>
      </c>
      <c r="K21" s="57"/>
      <c r="L21" s="57"/>
      <c r="M21" s="58"/>
      <c r="N21" s="29"/>
      <c r="O21" s="30"/>
      <c r="P21" s="29"/>
      <c r="Q21" s="30"/>
      <c r="R21" s="29"/>
      <c r="S21" s="30"/>
      <c r="T21" s="29"/>
      <c r="U21" s="30"/>
      <c r="V21" s="39"/>
      <c r="W21" s="39"/>
      <c r="X21" s="39"/>
      <c r="Y21" s="39"/>
      <c r="Z21" s="39"/>
      <c r="AA21" s="39"/>
      <c r="AB21" s="40"/>
      <c r="AC21" s="212"/>
    </row>
    <row r="22" spans="1:29" s="38" customFormat="1" ht="149.25" customHeight="1" x14ac:dyDescent="0.4">
      <c r="A22" s="23"/>
      <c r="B22" s="24"/>
      <c r="C22" s="25"/>
      <c r="D22" s="25" t="s">
        <v>205</v>
      </c>
      <c r="E22" s="57">
        <v>210</v>
      </c>
      <c r="F22" s="57" t="s">
        <v>41</v>
      </c>
      <c r="G22" s="58">
        <v>1850640000</v>
      </c>
      <c r="H22" s="29"/>
      <c r="I22" s="29"/>
      <c r="J22" s="30"/>
      <c r="K22" s="57">
        <v>210</v>
      </c>
      <c r="L22" s="57" t="s">
        <v>41</v>
      </c>
      <c r="M22" s="58">
        <v>422725000</v>
      </c>
      <c r="N22" s="29">
        <v>0</v>
      </c>
      <c r="O22" s="30">
        <f>0+0+0</f>
        <v>0</v>
      </c>
      <c r="P22" s="29"/>
      <c r="Q22" s="30"/>
      <c r="R22" s="29"/>
      <c r="S22" s="30"/>
      <c r="T22" s="29"/>
      <c r="U22" s="30"/>
      <c r="V22" s="29">
        <f>N22+P22+R22+T22</f>
        <v>0</v>
      </c>
      <c r="W22" s="30">
        <f>O22+Q22+S22+U22</f>
        <v>0</v>
      </c>
      <c r="X22" s="29">
        <f>H22+V22</f>
        <v>0</v>
      </c>
      <c r="Y22" s="30">
        <f>J22+W22</f>
        <v>0</v>
      </c>
      <c r="Z22" s="59">
        <f>(X22/E22)*100</f>
        <v>0</v>
      </c>
      <c r="AA22" s="41">
        <f>(Y22/G22)*100</f>
        <v>0</v>
      </c>
      <c r="AB22" s="37"/>
      <c r="AC22" s="212"/>
    </row>
    <row r="23" spans="1:29" s="38" customFormat="1" ht="30.75" customHeight="1" x14ac:dyDescent="0.4">
      <c r="A23" s="23"/>
      <c r="B23" s="24"/>
      <c r="C23" s="25"/>
      <c r="D23" s="25"/>
      <c r="E23" s="57"/>
      <c r="F23" s="57"/>
      <c r="G23" s="58"/>
      <c r="H23" s="32"/>
      <c r="I23" s="32"/>
      <c r="J23" s="34"/>
      <c r="K23" s="57"/>
      <c r="L23" s="57"/>
      <c r="M23" s="58"/>
      <c r="N23" s="33"/>
      <c r="O23" s="34"/>
      <c r="P23" s="32"/>
      <c r="Q23" s="34"/>
      <c r="R23" s="32"/>
      <c r="S23" s="32"/>
      <c r="T23" s="33"/>
      <c r="U23" s="32"/>
      <c r="V23" s="33"/>
      <c r="W23" s="34"/>
      <c r="X23" s="33"/>
      <c r="Y23" s="34"/>
      <c r="Z23" s="46">
        <f>Z22</f>
        <v>0</v>
      </c>
      <c r="AA23" s="46">
        <f>AA22</f>
        <v>0</v>
      </c>
      <c r="AB23" s="37"/>
      <c r="AC23" s="212"/>
    </row>
    <row r="24" spans="1:29" s="9" customFormat="1" ht="212.25" customHeight="1" x14ac:dyDescent="0.4">
      <c r="A24" s="177">
        <v>3</v>
      </c>
      <c r="B24" s="178"/>
      <c r="C24" s="169" t="s">
        <v>43</v>
      </c>
      <c r="D24" s="169" t="s">
        <v>44</v>
      </c>
      <c r="E24" s="183">
        <v>6.49</v>
      </c>
      <c r="F24" s="184" t="s">
        <v>20</v>
      </c>
      <c r="G24" s="172">
        <v>46185000</v>
      </c>
      <c r="H24" s="170">
        <v>6.49</v>
      </c>
      <c r="I24" s="170" t="s">
        <v>20</v>
      </c>
      <c r="J24" s="172">
        <v>46184800</v>
      </c>
      <c r="K24" s="183"/>
      <c r="L24" s="184"/>
      <c r="M24" s="172"/>
      <c r="N24" s="170"/>
      <c r="O24" s="172"/>
      <c r="P24" s="170"/>
      <c r="Q24" s="172"/>
      <c r="R24" s="170"/>
      <c r="S24" s="172"/>
      <c r="T24" s="170"/>
      <c r="U24" s="172"/>
      <c r="V24" s="179"/>
      <c r="W24" s="179"/>
      <c r="X24" s="179"/>
      <c r="Y24" s="179"/>
      <c r="Z24" s="179"/>
      <c r="AA24" s="179"/>
      <c r="AB24" s="180"/>
      <c r="AC24" s="210"/>
    </row>
    <row r="25" spans="1:29" s="9" customFormat="1" ht="407.25" customHeight="1" x14ac:dyDescent="0.4">
      <c r="A25" s="168"/>
      <c r="B25" s="178"/>
      <c r="C25" s="169"/>
      <c r="D25" s="169" t="s">
        <v>45</v>
      </c>
      <c r="E25" s="185">
        <v>12.5</v>
      </c>
      <c r="F25" s="184" t="s">
        <v>20</v>
      </c>
      <c r="G25" s="172">
        <v>1081270500</v>
      </c>
      <c r="H25" s="170"/>
      <c r="I25" s="170"/>
      <c r="J25" s="172"/>
      <c r="K25" s="185">
        <v>7</v>
      </c>
      <c r="L25" s="184" t="s">
        <v>20</v>
      </c>
      <c r="M25" s="172">
        <f>M27</f>
        <v>223376000</v>
      </c>
      <c r="N25" s="170">
        <v>0</v>
      </c>
      <c r="O25" s="172">
        <f>O27</f>
        <v>0</v>
      </c>
      <c r="P25" s="174">
        <v>0</v>
      </c>
      <c r="Q25" s="172">
        <f>Q27</f>
        <v>0</v>
      </c>
      <c r="R25" s="174">
        <v>0</v>
      </c>
      <c r="S25" s="172">
        <f>S27</f>
        <v>0</v>
      </c>
      <c r="T25" s="170"/>
      <c r="U25" s="172">
        <f>U29</f>
        <v>0</v>
      </c>
      <c r="V25" s="174">
        <f>N25+P25+R25+T25</f>
        <v>0</v>
      </c>
      <c r="W25" s="172">
        <f>O25+Q25+S25+U25</f>
        <v>0</v>
      </c>
      <c r="X25" s="170">
        <f>H25+V25</f>
        <v>0</v>
      </c>
      <c r="Y25" s="172">
        <f>J25+W25</f>
        <v>0</v>
      </c>
      <c r="Z25" s="182">
        <f>(X25/E25)*100</f>
        <v>0</v>
      </c>
      <c r="AA25" s="174">
        <f>(Y25/G25)*100</f>
        <v>0</v>
      </c>
      <c r="AB25" s="176"/>
      <c r="AC25" s="210"/>
    </row>
    <row r="26" spans="1:29" s="56" customFormat="1" ht="161.25" customHeight="1" x14ac:dyDescent="0.4">
      <c r="A26" s="47"/>
      <c r="B26" s="11"/>
      <c r="C26" s="48" t="s">
        <v>46</v>
      </c>
      <c r="D26" s="48" t="s">
        <v>47</v>
      </c>
      <c r="E26" s="52">
        <v>24.35</v>
      </c>
      <c r="F26" s="50" t="s">
        <v>20</v>
      </c>
      <c r="G26" s="51">
        <v>46185000</v>
      </c>
      <c r="H26" s="52">
        <v>8.1199999999999992</v>
      </c>
      <c r="I26" s="52" t="s">
        <v>20</v>
      </c>
      <c r="J26" s="51">
        <v>46184800</v>
      </c>
      <c r="K26" s="61"/>
      <c r="L26" s="61"/>
      <c r="M26" s="51"/>
      <c r="N26" s="62"/>
      <c r="O26" s="51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3"/>
      <c r="AC26" s="213"/>
    </row>
    <row r="27" spans="1:29" s="56" customFormat="1" ht="290.25" customHeight="1" x14ac:dyDescent="0.4">
      <c r="A27" s="47"/>
      <c r="B27" s="11"/>
      <c r="C27" s="48"/>
      <c r="D27" s="48" t="s">
        <v>48</v>
      </c>
      <c r="E27" s="52">
        <v>28.83</v>
      </c>
      <c r="F27" s="50" t="s">
        <v>20</v>
      </c>
      <c r="G27" s="51">
        <v>1035085500</v>
      </c>
      <c r="H27" s="52"/>
      <c r="I27" s="52"/>
      <c r="J27" s="51"/>
      <c r="K27" s="61">
        <v>17.329999999999998</v>
      </c>
      <c r="L27" s="61" t="s">
        <v>20</v>
      </c>
      <c r="M27" s="51">
        <f>M30</f>
        <v>223376000</v>
      </c>
      <c r="N27" s="52">
        <v>0</v>
      </c>
      <c r="O27" s="51">
        <f>O30</f>
        <v>0</v>
      </c>
      <c r="P27" s="52">
        <v>0</v>
      </c>
      <c r="Q27" s="51">
        <f>Q28+Q29</f>
        <v>0</v>
      </c>
      <c r="R27" s="52">
        <v>0</v>
      </c>
      <c r="S27" s="51">
        <f>S28+S29</f>
        <v>0</v>
      </c>
      <c r="T27" s="52">
        <f>T28</f>
        <v>0</v>
      </c>
      <c r="U27" s="51">
        <f>U28</f>
        <v>0</v>
      </c>
      <c r="V27" s="52">
        <f>N27+P27+R27+T27</f>
        <v>0</v>
      </c>
      <c r="W27" s="51">
        <f>O27+Q27+S27+U27</f>
        <v>0</v>
      </c>
      <c r="X27" s="52">
        <f>H27+V27</f>
        <v>0</v>
      </c>
      <c r="Y27" s="51">
        <f>J27+W27</f>
        <v>0</v>
      </c>
      <c r="Z27" s="49">
        <f>(X27/E27)*100</f>
        <v>0</v>
      </c>
      <c r="AA27" s="49">
        <f>(Y27/G27)*100</f>
        <v>0</v>
      </c>
      <c r="AB27" s="55"/>
      <c r="AC27" s="213"/>
    </row>
    <row r="28" spans="1:29" s="38" customFormat="1" ht="275.25" customHeight="1" x14ac:dyDescent="0.4">
      <c r="A28" s="23"/>
      <c r="B28" s="24"/>
      <c r="C28" s="197" t="s">
        <v>49</v>
      </c>
      <c r="D28" s="25" t="s">
        <v>50</v>
      </c>
      <c r="E28" s="33">
        <v>90</v>
      </c>
      <c r="F28" s="44" t="s">
        <v>30</v>
      </c>
      <c r="G28" s="34">
        <v>46185000</v>
      </c>
      <c r="H28" s="33">
        <v>90</v>
      </c>
      <c r="I28" s="45" t="s">
        <v>42</v>
      </c>
      <c r="J28" s="34">
        <v>46184800</v>
      </c>
      <c r="K28" s="64"/>
      <c r="L28" s="64"/>
      <c r="M28" s="34"/>
      <c r="N28" s="33"/>
      <c r="O28" s="34"/>
      <c r="P28" s="33"/>
      <c r="Q28" s="34"/>
      <c r="R28" s="33"/>
      <c r="S28" s="34"/>
      <c r="T28" s="33"/>
      <c r="U28" s="34"/>
      <c r="V28" s="39"/>
      <c r="W28" s="39"/>
      <c r="X28" s="39"/>
      <c r="Y28" s="39"/>
      <c r="Z28" s="39"/>
      <c r="AA28" s="39"/>
      <c r="AB28" s="40"/>
      <c r="AC28" s="212"/>
    </row>
    <row r="29" spans="1:29" s="38" customFormat="1" ht="106.5" customHeight="1" x14ac:dyDescent="0.4">
      <c r="A29" s="23"/>
      <c r="B29" s="24"/>
      <c r="C29" s="25"/>
      <c r="D29" s="25" t="s">
        <v>51</v>
      </c>
      <c r="E29" s="33">
        <v>510</v>
      </c>
      <c r="F29" s="44" t="s">
        <v>41</v>
      </c>
      <c r="G29" s="34">
        <v>1035085500</v>
      </c>
      <c r="H29" s="33"/>
      <c r="I29" s="45"/>
      <c r="J29" s="34"/>
      <c r="K29" s="64"/>
      <c r="L29" s="64"/>
      <c r="M29" s="34"/>
      <c r="N29" s="33"/>
      <c r="O29" s="34"/>
      <c r="P29" s="33"/>
      <c r="Q29" s="30"/>
      <c r="R29" s="33"/>
      <c r="S29" s="30"/>
      <c r="T29" s="33"/>
      <c r="U29" s="34"/>
      <c r="V29" s="33"/>
      <c r="W29" s="34"/>
      <c r="X29" s="33"/>
      <c r="Y29" s="34"/>
      <c r="Z29" s="36"/>
      <c r="AA29" s="36"/>
      <c r="AB29" s="37"/>
      <c r="AC29" s="212"/>
    </row>
    <row r="30" spans="1:29" s="38" customFormat="1" ht="204" customHeight="1" x14ac:dyDescent="0.4">
      <c r="A30" s="23"/>
      <c r="B30" s="24"/>
      <c r="C30" s="25"/>
      <c r="D30" s="25" t="s">
        <v>214</v>
      </c>
      <c r="E30" s="33"/>
      <c r="F30" s="44"/>
      <c r="G30" s="34"/>
      <c r="H30" s="33"/>
      <c r="I30" s="45"/>
      <c r="J30" s="34"/>
      <c r="K30" s="33">
        <v>150</v>
      </c>
      <c r="L30" s="44" t="s">
        <v>33</v>
      </c>
      <c r="M30" s="34">
        <v>223376000</v>
      </c>
      <c r="N30" s="33">
        <v>0</v>
      </c>
      <c r="O30" s="34">
        <f>0+0+0</f>
        <v>0</v>
      </c>
      <c r="P30" s="33"/>
      <c r="Q30" s="30"/>
      <c r="R30" s="33"/>
      <c r="S30" s="30"/>
      <c r="T30" s="33"/>
      <c r="U30" s="34"/>
      <c r="V30" s="33">
        <f>N30+P30+R30+T30</f>
        <v>0</v>
      </c>
      <c r="W30" s="34">
        <f>O30+Q30+S30+U30</f>
        <v>0</v>
      </c>
      <c r="X30" s="33">
        <f>H30+V30</f>
        <v>0</v>
      </c>
      <c r="Y30" s="34">
        <f>J30+W30</f>
        <v>0</v>
      </c>
      <c r="Z30" s="36" t="e">
        <f>(X30/E30)*100</f>
        <v>#DIV/0!</v>
      </c>
      <c r="AA30" s="36" t="e">
        <f>(Y30/G30)*100</f>
        <v>#DIV/0!</v>
      </c>
      <c r="AB30" s="37"/>
      <c r="AC30" s="212"/>
    </row>
    <row r="31" spans="1:29" s="38" customFormat="1" ht="34.5" customHeight="1" x14ac:dyDescent="0.4">
      <c r="A31" s="23"/>
      <c r="B31" s="65"/>
      <c r="C31" s="25"/>
      <c r="D31" s="25"/>
      <c r="E31" s="33"/>
      <c r="F31" s="44"/>
      <c r="G31" s="34"/>
      <c r="H31" s="32"/>
      <c r="I31" s="32"/>
      <c r="J31" s="34"/>
      <c r="K31" s="64"/>
      <c r="L31" s="64"/>
      <c r="M31" s="34"/>
      <c r="N31" s="33"/>
      <c r="O31" s="34"/>
      <c r="P31" s="32"/>
      <c r="Q31" s="34"/>
      <c r="R31" s="32"/>
      <c r="S31" s="32"/>
      <c r="T31" s="33"/>
      <c r="U31" s="32"/>
      <c r="V31" s="33"/>
      <c r="W31" s="34"/>
      <c r="X31" s="33"/>
      <c r="Y31" s="34"/>
      <c r="Z31" s="46" t="e">
        <f>Z30</f>
        <v>#DIV/0!</v>
      </c>
      <c r="AA31" s="46" t="e">
        <f>AA30</f>
        <v>#DIV/0!</v>
      </c>
      <c r="AB31" s="37"/>
      <c r="AC31" s="212"/>
    </row>
    <row r="32" spans="1:29" s="9" customFormat="1" ht="163.5" customHeight="1" x14ac:dyDescent="0.4">
      <c r="A32" s="177">
        <v>4</v>
      </c>
      <c r="B32" s="169" t="s">
        <v>52</v>
      </c>
      <c r="C32" s="169" t="s">
        <v>53</v>
      </c>
      <c r="D32" s="169" t="s">
        <v>54</v>
      </c>
      <c r="E32" s="170">
        <v>0.5</v>
      </c>
      <c r="F32" s="171" t="s">
        <v>20</v>
      </c>
      <c r="G32" s="172">
        <v>949140250</v>
      </c>
      <c r="H32" s="174">
        <v>0.5</v>
      </c>
      <c r="I32" s="170" t="s">
        <v>20</v>
      </c>
      <c r="J32" s="172">
        <v>1055329208</v>
      </c>
      <c r="K32" s="170"/>
      <c r="L32" s="171"/>
      <c r="M32" s="172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80"/>
      <c r="AC32" s="210"/>
    </row>
    <row r="33" spans="1:29" s="9" customFormat="1" ht="153.75" customHeight="1" x14ac:dyDescent="0.4">
      <c r="A33" s="168"/>
      <c r="B33" s="169"/>
      <c r="C33" s="169"/>
      <c r="D33" s="169" t="s">
        <v>55</v>
      </c>
      <c r="E33" s="170">
        <v>1.45</v>
      </c>
      <c r="F33" s="171" t="s">
        <v>20</v>
      </c>
      <c r="G33" s="172">
        <v>7332387500</v>
      </c>
      <c r="H33" s="174"/>
      <c r="I33" s="170"/>
      <c r="J33" s="194"/>
      <c r="K33" s="171">
        <v>1.3599999999999999E-2</v>
      </c>
      <c r="L33" s="171" t="s">
        <v>20</v>
      </c>
      <c r="M33" s="172">
        <f>M34</f>
        <v>1940221950</v>
      </c>
      <c r="N33" s="170">
        <v>0</v>
      </c>
      <c r="O33" s="172">
        <f>O34</f>
        <v>30662829</v>
      </c>
      <c r="P33" s="170"/>
      <c r="Q33" s="172"/>
      <c r="R33" s="170"/>
      <c r="S33" s="172"/>
      <c r="T33" s="170"/>
      <c r="U33" s="172"/>
      <c r="V33" s="174">
        <f>N33+P33+R33+T33</f>
        <v>0</v>
      </c>
      <c r="W33" s="172">
        <f>O33+Q33+S33+U33</f>
        <v>30662829</v>
      </c>
      <c r="X33" s="174">
        <f>H33+V33</f>
        <v>0</v>
      </c>
      <c r="Y33" s="172">
        <f>J33+W33</f>
        <v>30662829</v>
      </c>
      <c r="Z33" s="181">
        <f>(X33/E33)*100</f>
        <v>0</v>
      </c>
      <c r="AA33" s="181">
        <f>(Y33/G33)*100</f>
        <v>0.4181834225209729</v>
      </c>
      <c r="AB33" s="176"/>
      <c r="AC33" s="210"/>
    </row>
    <row r="34" spans="1:29" s="56" customFormat="1" ht="264.75" customHeight="1" x14ac:dyDescent="0.4">
      <c r="A34" s="47"/>
      <c r="B34" s="66"/>
      <c r="C34" s="48" t="s">
        <v>56</v>
      </c>
      <c r="D34" s="48" t="s">
        <v>57</v>
      </c>
      <c r="E34" s="52">
        <v>496</v>
      </c>
      <c r="F34" s="67" t="s">
        <v>58</v>
      </c>
      <c r="G34" s="51">
        <v>7332387500</v>
      </c>
      <c r="H34" s="52">
        <v>176</v>
      </c>
      <c r="I34" s="48" t="s">
        <v>58</v>
      </c>
      <c r="J34" s="51">
        <v>1055329208</v>
      </c>
      <c r="K34" s="52">
        <v>176</v>
      </c>
      <c r="L34" s="67" t="s">
        <v>58</v>
      </c>
      <c r="M34" s="51">
        <f>M36+M38+M40</f>
        <v>1940221950</v>
      </c>
      <c r="N34" s="52">
        <v>0</v>
      </c>
      <c r="O34" s="51">
        <f>O36+O38+O40</f>
        <v>30662829</v>
      </c>
      <c r="P34" s="53"/>
      <c r="Q34" s="51"/>
      <c r="R34" s="52"/>
      <c r="S34" s="51"/>
      <c r="T34" s="49"/>
      <c r="U34" s="51"/>
      <c r="V34" s="49">
        <f>N34+P34+R34+T34</f>
        <v>0</v>
      </c>
      <c r="W34" s="51">
        <f>O34+Q34+S34+U34</f>
        <v>30662829</v>
      </c>
      <c r="X34" s="49">
        <f>H34+V34</f>
        <v>176</v>
      </c>
      <c r="Y34" s="51">
        <f>J34+W34</f>
        <v>1085992037</v>
      </c>
      <c r="Z34" s="68">
        <f>(X34/E34)*100</f>
        <v>35.483870967741936</v>
      </c>
      <c r="AA34" s="68">
        <f>(Y34/G34)*100</f>
        <v>14.81089259126035</v>
      </c>
      <c r="AB34" s="55"/>
      <c r="AC34" s="213"/>
    </row>
    <row r="35" spans="1:29" s="38" customFormat="1" ht="96.75" customHeight="1" x14ac:dyDescent="0.4">
      <c r="A35" s="23"/>
      <c r="B35" s="69"/>
      <c r="C35" s="198" t="s">
        <v>59</v>
      </c>
      <c r="D35" s="71" t="s">
        <v>60</v>
      </c>
      <c r="E35" s="72">
        <v>80</v>
      </c>
      <c r="F35" s="31" t="s">
        <v>58</v>
      </c>
      <c r="G35" s="73">
        <v>48440000</v>
      </c>
      <c r="H35" s="29">
        <v>80</v>
      </c>
      <c r="I35" s="29" t="s">
        <v>61</v>
      </c>
      <c r="J35" s="74">
        <v>46232000</v>
      </c>
      <c r="K35" s="75"/>
      <c r="L35" s="57"/>
      <c r="M35" s="73"/>
      <c r="N35" s="29"/>
      <c r="O35" s="30"/>
      <c r="P35" s="29"/>
      <c r="Q35" s="30"/>
      <c r="R35" s="29"/>
      <c r="S35" s="30"/>
      <c r="T35" s="29"/>
      <c r="U35" s="76"/>
      <c r="V35" s="39"/>
      <c r="W35" s="39"/>
      <c r="X35" s="39"/>
      <c r="Y35" s="39"/>
      <c r="Z35" s="39"/>
      <c r="AA35" s="39"/>
      <c r="AB35" s="40"/>
      <c r="AC35" s="212"/>
    </row>
    <row r="36" spans="1:29" s="38" customFormat="1" ht="132" customHeight="1" x14ac:dyDescent="0.4">
      <c r="A36" s="23"/>
      <c r="B36" s="69"/>
      <c r="C36" s="70"/>
      <c r="D36" s="71" t="s">
        <v>62</v>
      </c>
      <c r="E36" s="72">
        <v>690</v>
      </c>
      <c r="F36" s="31" t="s">
        <v>33</v>
      </c>
      <c r="G36" s="73">
        <v>3525934600</v>
      </c>
      <c r="H36" s="29"/>
      <c r="I36" s="29"/>
      <c r="J36" s="74"/>
      <c r="K36" s="75">
        <v>60</v>
      </c>
      <c r="L36" s="57" t="s">
        <v>31</v>
      </c>
      <c r="M36" s="73">
        <v>881483650</v>
      </c>
      <c r="N36" s="29">
        <v>0</v>
      </c>
      <c r="O36" s="30">
        <f>0+0+0</f>
        <v>0</v>
      </c>
      <c r="P36" s="29"/>
      <c r="Q36" s="30"/>
      <c r="R36" s="29"/>
      <c r="S36" s="30"/>
      <c r="T36" s="29"/>
      <c r="U36" s="30"/>
      <c r="V36" s="36">
        <f>N36+P36+R36+T36</f>
        <v>0</v>
      </c>
      <c r="W36" s="34">
        <f>O36+Q36+S36+U36</f>
        <v>0</v>
      </c>
      <c r="X36" s="35">
        <f>H36+V36</f>
        <v>0</v>
      </c>
      <c r="Y36" s="34">
        <f>J36+W36</f>
        <v>0</v>
      </c>
      <c r="Z36" s="36">
        <f>(X36/E36)*100</f>
        <v>0</v>
      </c>
      <c r="AA36" s="36">
        <f>(Y36/G36)*100</f>
        <v>0</v>
      </c>
      <c r="AB36" s="37"/>
      <c r="AC36" s="212"/>
    </row>
    <row r="37" spans="1:29" s="38" customFormat="1" ht="114" customHeight="1" x14ac:dyDescent="0.4">
      <c r="A37" s="23"/>
      <c r="B37" s="69"/>
      <c r="C37" s="198" t="s">
        <v>63</v>
      </c>
      <c r="D37" s="71" t="s">
        <v>64</v>
      </c>
      <c r="E37" s="72">
        <v>140</v>
      </c>
      <c r="F37" s="31" t="s">
        <v>58</v>
      </c>
      <c r="G37" s="73">
        <v>42409800</v>
      </c>
      <c r="H37" s="27">
        <v>140</v>
      </c>
      <c r="I37" s="27" t="s">
        <v>58</v>
      </c>
      <c r="J37" s="30">
        <v>24464600</v>
      </c>
      <c r="K37" s="75"/>
      <c r="L37" s="57"/>
      <c r="M37" s="73"/>
      <c r="N37" s="29"/>
      <c r="O37" s="74"/>
      <c r="P37" s="29"/>
      <c r="Q37" s="30"/>
      <c r="R37" s="29"/>
      <c r="S37" s="30"/>
      <c r="T37" s="29"/>
      <c r="U37" s="76"/>
      <c r="V37" s="39"/>
      <c r="W37" s="39"/>
      <c r="X37" s="39"/>
      <c r="Y37" s="39"/>
      <c r="Z37" s="39"/>
      <c r="AA37" s="39"/>
      <c r="AB37" s="40"/>
      <c r="AC37" s="212"/>
    </row>
    <row r="38" spans="1:29" s="38" customFormat="1" ht="82.5" customHeight="1" x14ac:dyDescent="0.4">
      <c r="A38" s="23"/>
      <c r="B38" s="69"/>
      <c r="C38" s="70"/>
      <c r="D38" s="71" t="s">
        <v>65</v>
      </c>
      <c r="E38" s="72">
        <v>660</v>
      </c>
      <c r="F38" s="31" t="s">
        <v>33</v>
      </c>
      <c r="G38" s="73">
        <v>238026000</v>
      </c>
      <c r="H38" s="27"/>
      <c r="I38" s="27"/>
      <c r="J38" s="30"/>
      <c r="K38" s="75">
        <v>105</v>
      </c>
      <c r="L38" s="57" t="s">
        <v>31</v>
      </c>
      <c r="M38" s="73">
        <v>49655000</v>
      </c>
      <c r="N38" s="29">
        <v>0</v>
      </c>
      <c r="O38" s="74">
        <f>0+0+0</f>
        <v>0</v>
      </c>
      <c r="P38" s="29"/>
      <c r="Q38" s="30"/>
      <c r="R38" s="29"/>
      <c r="S38" s="30"/>
      <c r="T38" s="29"/>
      <c r="U38" s="76"/>
      <c r="V38" s="36">
        <f>N38+P38+R38+T38</f>
        <v>0</v>
      </c>
      <c r="W38" s="34">
        <f>O38+Q38+S38+U38</f>
        <v>0</v>
      </c>
      <c r="X38" s="36">
        <f>H38+V38</f>
        <v>0</v>
      </c>
      <c r="Y38" s="88">
        <f>J38+W38</f>
        <v>0</v>
      </c>
      <c r="Z38" s="36">
        <f>(X38/E38)*100</f>
        <v>0</v>
      </c>
      <c r="AA38" s="36">
        <f>(Y38/G38)*100</f>
        <v>0</v>
      </c>
      <c r="AB38" s="37"/>
      <c r="AC38" s="212"/>
    </row>
    <row r="39" spans="1:29" s="38" customFormat="1" ht="134.25" customHeight="1" x14ac:dyDescent="0.4">
      <c r="A39" s="23"/>
      <c r="B39" s="69"/>
      <c r="C39" s="198" t="s">
        <v>66</v>
      </c>
      <c r="D39" s="71" t="s">
        <v>67</v>
      </c>
      <c r="E39" s="78">
        <v>240</v>
      </c>
      <c r="F39" s="31" t="s">
        <v>58</v>
      </c>
      <c r="G39" s="73">
        <v>820644600</v>
      </c>
      <c r="H39" s="29">
        <v>240</v>
      </c>
      <c r="I39" s="27" t="s">
        <v>58</v>
      </c>
      <c r="J39" s="74">
        <v>818305304</v>
      </c>
      <c r="K39" s="78"/>
      <c r="L39" s="31"/>
      <c r="M39" s="79"/>
      <c r="N39" s="29"/>
      <c r="O39" s="74"/>
      <c r="P39" s="29"/>
      <c r="Q39" s="80"/>
      <c r="R39" s="29"/>
      <c r="S39" s="30"/>
      <c r="T39" s="29"/>
      <c r="U39" s="30"/>
      <c r="V39" s="39"/>
      <c r="W39" s="39"/>
      <c r="X39" s="39"/>
      <c r="Y39" s="39"/>
      <c r="Z39" s="39"/>
      <c r="AA39" s="39"/>
      <c r="AB39" s="40"/>
      <c r="AC39" s="212"/>
    </row>
    <row r="40" spans="1:29" s="38" customFormat="1" ht="180.75" customHeight="1" x14ac:dyDescent="0.4">
      <c r="A40" s="23"/>
      <c r="B40" s="69"/>
      <c r="C40" s="70"/>
      <c r="D40" s="71" t="s">
        <v>206</v>
      </c>
      <c r="E40" s="78">
        <v>1486</v>
      </c>
      <c r="F40" s="31" t="s">
        <v>33</v>
      </c>
      <c r="G40" s="73">
        <v>3610836900</v>
      </c>
      <c r="H40" s="29"/>
      <c r="I40" s="27"/>
      <c r="J40" s="74"/>
      <c r="K40" s="78">
        <v>250</v>
      </c>
      <c r="L40" s="31" t="s">
        <v>31</v>
      </c>
      <c r="M40" s="79">
        <v>1009083300</v>
      </c>
      <c r="N40" s="29"/>
      <c r="O40" s="74">
        <f>9954143+10751843+9956843</f>
        <v>30662829</v>
      </c>
      <c r="P40" s="29"/>
      <c r="Q40" s="30"/>
      <c r="R40" s="29"/>
      <c r="S40" s="30"/>
      <c r="T40" s="29"/>
      <c r="U40" s="30"/>
      <c r="V40" s="35">
        <f>N40+P40+R40+T40</f>
        <v>0</v>
      </c>
      <c r="W40" s="34">
        <f>O40+Q40+S40+U40</f>
        <v>30662829</v>
      </c>
      <c r="X40" s="36">
        <f>H40+V40</f>
        <v>0</v>
      </c>
      <c r="Y40" s="34">
        <f>J40+W40</f>
        <v>30662829</v>
      </c>
      <c r="Z40" s="36">
        <f>(X40/E40)*100</f>
        <v>0</v>
      </c>
      <c r="AA40" s="36">
        <f>(Y40/G40)*100</f>
        <v>0.84918897887633749</v>
      </c>
      <c r="AB40" s="37"/>
      <c r="AC40" s="212"/>
    </row>
    <row r="41" spans="1:29" s="38" customFormat="1" ht="213.75" customHeight="1" x14ac:dyDescent="0.4">
      <c r="A41" s="23"/>
      <c r="B41" s="69"/>
      <c r="C41" s="70" t="s">
        <v>68</v>
      </c>
      <c r="D41" s="71" t="s">
        <v>69</v>
      </c>
      <c r="E41" s="78">
        <v>90</v>
      </c>
      <c r="F41" s="31" t="s">
        <v>41</v>
      </c>
      <c r="G41" s="73">
        <v>180808200</v>
      </c>
      <c r="H41" s="29"/>
      <c r="I41" s="27"/>
      <c r="J41" s="74"/>
      <c r="K41" s="78">
        <v>90</v>
      </c>
      <c r="L41" s="31" t="s">
        <v>41</v>
      </c>
      <c r="M41" s="73">
        <v>180808200</v>
      </c>
      <c r="N41" s="29"/>
      <c r="O41" s="74"/>
      <c r="P41" s="29"/>
      <c r="Q41" s="30"/>
      <c r="R41" s="29"/>
      <c r="S41" s="30"/>
      <c r="T41" s="29"/>
      <c r="U41" s="30"/>
      <c r="V41" s="36"/>
      <c r="W41" s="34"/>
      <c r="X41" s="36"/>
      <c r="Y41" s="34"/>
      <c r="Z41" s="77"/>
      <c r="AA41" s="77"/>
      <c r="AB41" s="37"/>
      <c r="AC41" s="212"/>
    </row>
    <row r="42" spans="1:29" s="38" customFormat="1" ht="32.25" customHeight="1" x14ac:dyDescent="0.4">
      <c r="A42" s="23"/>
      <c r="B42" s="69"/>
      <c r="C42" s="70"/>
      <c r="D42" s="71"/>
      <c r="E42" s="78"/>
      <c r="F42" s="31"/>
      <c r="G42" s="73"/>
      <c r="H42" s="32"/>
      <c r="I42" s="32"/>
      <c r="J42" s="34"/>
      <c r="K42" s="78"/>
      <c r="L42" s="31"/>
      <c r="M42" s="34"/>
      <c r="N42" s="33"/>
      <c r="O42" s="30"/>
      <c r="P42" s="32"/>
      <c r="Q42" s="34"/>
      <c r="R42" s="32"/>
      <c r="S42" s="32"/>
      <c r="T42" s="33"/>
      <c r="U42" s="32"/>
      <c r="V42" s="33"/>
      <c r="W42" s="34"/>
      <c r="X42" s="33"/>
      <c r="Y42" s="34"/>
      <c r="Z42" s="192">
        <f>(Z36+Z40+Z38)/4</f>
        <v>0</v>
      </c>
      <c r="AA42" s="192">
        <f>(AA36+AA40+AA38)/4</f>
        <v>0.21229724471908437</v>
      </c>
      <c r="AB42" s="37"/>
      <c r="AC42" s="212"/>
    </row>
    <row r="43" spans="1:29" s="9" customFormat="1" ht="155.25" customHeight="1" x14ac:dyDescent="0.4">
      <c r="A43" s="177">
        <v>5</v>
      </c>
      <c r="B43" s="186"/>
      <c r="C43" s="169" t="s">
        <v>70</v>
      </c>
      <c r="D43" s="169" t="s">
        <v>71</v>
      </c>
      <c r="E43" s="170">
        <v>0.5</v>
      </c>
      <c r="F43" s="171" t="s">
        <v>20</v>
      </c>
      <c r="G43" s="172">
        <v>1093979000</v>
      </c>
      <c r="H43" s="170">
        <v>0.5</v>
      </c>
      <c r="I43" s="170" t="s">
        <v>20</v>
      </c>
      <c r="J43" s="172">
        <v>188828000</v>
      </c>
      <c r="K43" s="170"/>
      <c r="L43" s="187"/>
      <c r="M43" s="172"/>
      <c r="N43" s="170"/>
      <c r="O43" s="172"/>
      <c r="P43" s="179"/>
      <c r="Q43" s="172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80"/>
      <c r="AC43" s="210"/>
    </row>
    <row r="44" spans="1:29" s="9" customFormat="1" ht="111.75" customHeight="1" x14ac:dyDescent="0.4">
      <c r="A44" s="168"/>
      <c r="B44" s="186"/>
      <c r="C44" s="169"/>
      <c r="D44" s="169" t="s">
        <v>72</v>
      </c>
      <c r="E44" s="174">
        <v>1.9</v>
      </c>
      <c r="F44" s="171" t="s">
        <v>20</v>
      </c>
      <c r="G44" s="172">
        <v>4286013600</v>
      </c>
      <c r="H44" s="170"/>
      <c r="I44" s="170"/>
      <c r="J44" s="172"/>
      <c r="K44" s="207">
        <v>0.3</v>
      </c>
      <c r="L44" s="187" t="s">
        <v>20</v>
      </c>
      <c r="M44" s="172">
        <f>M46</f>
        <v>1071503400</v>
      </c>
      <c r="N44" s="174">
        <v>0</v>
      </c>
      <c r="O44" s="172">
        <f>O46</f>
        <v>47869635</v>
      </c>
      <c r="P44" s="170"/>
      <c r="Q44" s="172"/>
      <c r="R44" s="170"/>
      <c r="S44" s="172"/>
      <c r="T44" s="170"/>
      <c r="U44" s="172"/>
      <c r="V44" s="174">
        <f>N44+P44+R44+T44</f>
        <v>0</v>
      </c>
      <c r="W44" s="172">
        <f>O44+Q44+S44+U44</f>
        <v>47869635</v>
      </c>
      <c r="X44" s="174">
        <f>H44+V44</f>
        <v>0</v>
      </c>
      <c r="Y44" s="172">
        <f>J44+W44</f>
        <v>47869635</v>
      </c>
      <c r="Z44" s="182">
        <f>(X44/E44)*100</f>
        <v>0</v>
      </c>
      <c r="AA44" s="174">
        <f>(Y44/G44)*100</f>
        <v>1.1168801470905272</v>
      </c>
      <c r="AB44" s="176"/>
      <c r="AC44" s="210"/>
    </row>
    <row r="45" spans="1:29" s="56" customFormat="1" ht="177.75" customHeight="1" x14ac:dyDescent="0.4">
      <c r="A45" s="47"/>
      <c r="B45" s="66"/>
      <c r="C45" s="48" t="s">
        <v>73</v>
      </c>
      <c r="D45" s="48" t="s">
        <v>74</v>
      </c>
      <c r="E45" s="52">
        <v>176</v>
      </c>
      <c r="F45" s="67" t="s">
        <v>58</v>
      </c>
      <c r="G45" s="51">
        <v>1093979000</v>
      </c>
      <c r="H45" s="52">
        <v>176</v>
      </c>
      <c r="I45" s="81" t="s">
        <v>58</v>
      </c>
      <c r="J45" s="51">
        <v>641741760</v>
      </c>
      <c r="K45" s="52"/>
      <c r="L45" s="67"/>
      <c r="M45" s="51"/>
      <c r="N45" s="52"/>
      <c r="O45" s="51"/>
      <c r="P45" s="62"/>
      <c r="Q45" s="51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3"/>
      <c r="AC45" s="213"/>
    </row>
    <row r="46" spans="1:29" s="56" customFormat="1" ht="81" customHeight="1" x14ac:dyDescent="0.4">
      <c r="A46" s="47"/>
      <c r="B46" s="66"/>
      <c r="C46" s="48"/>
      <c r="D46" s="48" t="s">
        <v>75</v>
      </c>
      <c r="E46" s="52">
        <v>2176</v>
      </c>
      <c r="F46" s="67" t="s">
        <v>76</v>
      </c>
      <c r="G46" s="51">
        <v>4286013600</v>
      </c>
      <c r="H46" s="52"/>
      <c r="I46" s="81"/>
      <c r="J46" s="51"/>
      <c r="K46" s="52">
        <v>500</v>
      </c>
      <c r="L46" s="67" t="s">
        <v>58</v>
      </c>
      <c r="M46" s="51">
        <f>M49</f>
        <v>1071503400</v>
      </c>
      <c r="N46" s="52">
        <v>0</v>
      </c>
      <c r="O46" s="51">
        <f>O49</f>
        <v>47869635</v>
      </c>
      <c r="P46" s="52"/>
      <c r="Q46" s="51"/>
      <c r="R46" s="52"/>
      <c r="S46" s="51"/>
      <c r="T46" s="52"/>
      <c r="U46" s="51"/>
      <c r="V46" s="54">
        <f>N46+P46+R46+T46</f>
        <v>0</v>
      </c>
      <c r="W46" s="51">
        <f>O46+Q46+S46+U46</f>
        <v>47869635</v>
      </c>
      <c r="X46" s="49">
        <f>H46+V46</f>
        <v>0</v>
      </c>
      <c r="Y46" s="51">
        <f>J46+W46</f>
        <v>47869635</v>
      </c>
      <c r="Z46" s="54">
        <f>(X46/E46)*100</f>
        <v>0</v>
      </c>
      <c r="AA46" s="49">
        <f>(Y46/G46)*100</f>
        <v>1.1168801470905272</v>
      </c>
      <c r="AB46" s="55"/>
      <c r="AC46" s="213"/>
    </row>
    <row r="47" spans="1:29" s="38" customFormat="1" ht="206.25" customHeight="1" x14ac:dyDescent="0.4">
      <c r="A47" s="23"/>
      <c r="B47" s="69"/>
      <c r="C47" s="25" t="s">
        <v>77</v>
      </c>
      <c r="D47" s="25" t="s">
        <v>78</v>
      </c>
      <c r="E47" s="57">
        <v>35320</v>
      </c>
      <c r="F47" s="57" t="s">
        <v>76</v>
      </c>
      <c r="G47" s="73">
        <v>1093979000</v>
      </c>
      <c r="H47" s="76">
        <v>35320</v>
      </c>
      <c r="I47" s="76" t="s">
        <v>61</v>
      </c>
      <c r="J47" s="34">
        <v>641741760</v>
      </c>
      <c r="K47" s="82">
        <v>35320</v>
      </c>
      <c r="L47" s="78" t="s">
        <v>79</v>
      </c>
      <c r="M47" s="73">
        <v>648763220</v>
      </c>
      <c r="N47" s="29"/>
      <c r="O47" s="30"/>
      <c r="P47" s="33"/>
      <c r="Q47" s="34"/>
      <c r="R47" s="33"/>
      <c r="S47" s="34"/>
      <c r="T47" s="33"/>
      <c r="U47" s="30"/>
      <c r="V47" s="39"/>
      <c r="W47" s="39"/>
      <c r="X47" s="39"/>
      <c r="Y47" s="39"/>
      <c r="Z47" s="39"/>
      <c r="AA47" s="39"/>
      <c r="AB47" s="40"/>
      <c r="AC47" s="212"/>
    </row>
    <row r="48" spans="1:29" s="38" customFormat="1" ht="187.5" customHeight="1" x14ac:dyDescent="0.4">
      <c r="A48" s="23"/>
      <c r="B48" s="69"/>
      <c r="C48" s="25"/>
      <c r="D48" s="25" t="s">
        <v>80</v>
      </c>
      <c r="E48" s="57">
        <v>2525</v>
      </c>
      <c r="F48" s="57" t="s">
        <v>31</v>
      </c>
      <c r="G48" s="73">
        <v>4286013600</v>
      </c>
      <c r="H48" s="76"/>
      <c r="I48" s="76"/>
      <c r="J48" s="34"/>
      <c r="K48" s="82">
        <v>500</v>
      </c>
      <c r="L48" s="78" t="s">
        <v>33</v>
      </c>
      <c r="M48" s="73">
        <v>1051179620</v>
      </c>
      <c r="N48" s="29"/>
      <c r="O48" s="30"/>
      <c r="P48" s="33"/>
      <c r="Q48" s="30"/>
      <c r="R48" s="33"/>
      <c r="S48" s="30"/>
      <c r="T48" s="33"/>
      <c r="U48" s="30"/>
      <c r="V48" s="35"/>
      <c r="W48" s="34"/>
      <c r="X48" s="36"/>
      <c r="Y48" s="34"/>
      <c r="Z48" s="35"/>
      <c r="AA48" s="77"/>
      <c r="AB48" s="37"/>
      <c r="AC48" s="212"/>
    </row>
    <row r="49" spans="1:29" s="38" customFormat="1" ht="173.25" customHeight="1" x14ac:dyDescent="0.4">
      <c r="A49" s="23"/>
      <c r="B49" s="69"/>
      <c r="C49" s="197" t="s">
        <v>215</v>
      </c>
      <c r="D49" s="25" t="s">
        <v>216</v>
      </c>
      <c r="E49" s="83"/>
      <c r="F49" s="57"/>
      <c r="G49" s="73"/>
      <c r="H49" s="32"/>
      <c r="I49" s="32"/>
      <c r="J49" s="34"/>
      <c r="K49" s="82">
        <v>500</v>
      </c>
      <c r="L49" s="78" t="s">
        <v>33</v>
      </c>
      <c r="M49" s="73">
        <v>1071503400</v>
      </c>
      <c r="N49" s="29"/>
      <c r="O49" s="30">
        <f>15953665+15957985+15957985</f>
        <v>47869635</v>
      </c>
      <c r="P49" s="32"/>
      <c r="Q49" s="34"/>
      <c r="R49" s="32"/>
      <c r="S49" s="32"/>
      <c r="T49" s="33"/>
      <c r="U49" s="32"/>
      <c r="V49" s="35">
        <f>N49+P49+R49+T49</f>
        <v>0</v>
      </c>
      <c r="W49" s="34">
        <f>O49+Q49+S49+U49</f>
        <v>47869635</v>
      </c>
      <c r="X49" s="36">
        <f>H49+V49</f>
        <v>0</v>
      </c>
      <c r="Y49" s="34">
        <f>J49+W49</f>
        <v>47869635</v>
      </c>
      <c r="Z49" s="35" t="e">
        <f>(X49/E49)*100</f>
        <v>#DIV/0!</v>
      </c>
      <c r="AA49" s="77" t="e">
        <f>(Y49/G49)*100</f>
        <v>#DIV/0!</v>
      </c>
      <c r="AB49" s="37"/>
      <c r="AC49" s="212"/>
    </row>
    <row r="50" spans="1:29" s="38" customFormat="1" ht="42.75" customHeight="1" x14ac:dyDescent="0.4">
      <c r="A50" s="23"/>
      <c r="B50" s="69"/>
      <c r="C50" s="25"/>
      <c r="D50" s="25"/>
      <c r="E50" s="83"/>
      <c r="F50" s="57"/>
      <c r="G50" s="73"/>
      <c r="H50" s="32"/>
      <c r="I50" s="32"/>
      <c r="J50" s="34"/>
      <c r="K50" s="82"/>
      <c r="L50" s="78"/>
      <c r="M50" s="73"/>
      <c r="N50" s="29"/>
      <c r="O50" s="30"/>
      <c r="P50" s="32"/>
      <c r="Q50" s="34"/>
      <c r="R50" s="32"/>
      <c r="S50" s="32"/>
      <c r="T50" s="33"/>
      <c r="U50" s="32"/>
      <c r="V50" s="33"/>
      <c r="W50" s="34"/>
      <c r="X50" s="33"/>
      <c r="Y50" s="34"/>
      <c r="Z50" s="46" t="e">
        <f>Z49</f>
        <v>#DIV/0!</v>
      </c>
      <c r="AA50" s="192" t="e">
        <f>AA49</f>
        <v>#DIV/0!</v>
      </c>
      <c r="AB50" s="37"/>
      <c r="AC50" s="212"/>
    </row>
    <row r="51" spans="1:29" s="9" customFormat="1" ht="179.25" customHeight="1" x14ac:dyDescent="0.4">
      <c r="A51" s="177">
        <v>6</v>
      </c>
      <c r="B51" s="169" t="s">
        <v>81</v>
      </c>
      <c r="C51" s="169" t="s">
        <v>82</v>
      </c>
      <c r="D51" s="169" t="s">
        <v>83</v>
      </c>
      <c r="E51" s="170">
        <v>100</v>
      </c>
      <c r="F51" s="171" t="s">
        <v>20</v>
      </c>
      <c r="G51" s="172">
        <v>100000000</v>
      </c>
      <c r="H51" s="170">
        <v>100</v>
      </c>
      <c r="I51" s="170" t="s">
        <v>20</v>
      </c>
      <c r="J51" s="173">
        <v>2270000</v>
      </c>
      <c r="K51" s="170"/>
      <c r="L51" s="171"/>
      <c r="M51" s="172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80"/>
      <c r="AC51" s="210"/>
    </row>
    <row r="52" spans="1:29" s="9" customFormat="1" ht="180" customHeight="1" x14ac:dyDescent="0.4">
      <c r="A52" s="168"/>
      <c r="B52" s="169"/>
      <c r="C52" s="169"/>
      <c r="D52" s="169" t="s">
        <v>84</v>
      </c>
      <c r="E52" s="170">
        <v>100</v>
      </c>
      <c r="F52" s="171" t="s">
        <v>20</v>
      </c>
      <c r="G52" s="172">
        <v>813664000</v>
      </c>
      <c r="H52" s="170"/>
      <c r="I52" s="170"/>
      <c r="J52" s="173"/>
      <c r="K52" s="170">
        <v>100</v>
      </c>
      <c r="L52" s="171" t="s">
        <v>20</v>
      </c>
      <c r="M52" s="172">
        <f>M54</f>
        <v>200000000</v>
      </c>
      <c r="N52" s="170">
        <v>0</v>
      </c>
      <c r="O52" s="172">
        <f>O54</f>
        <v>0</v>
      </c>
      <c r="P52" s="170"/>
      <c r="Q52" s="172"/>
      <c r="R52" s="175"/>
      <c r="S52" s="175"/>
      <c r="T52" s="170"/>
      <c r="U52" s="172"/>
      <c r="V52" s="170">
        <f>N52+P52+R52+T52</f>
        <v>0</v>
      </c>
      <c r="W52" s="172">
        <f>O52+Q52+S52+U52</f>
        <v>0</v>
      </c>
      <c r="X52" s="170">
        <f>H52+V52</f>
        <v>0</v>
      </c>
      <c r="Y52" s="172">
        <f>J52+W52</f>
        <v>0</v>
      </c>
      <c r="Z52" s="188">
        <f>(X52/E52)*100</f>
        <v>0</v>
      </c>
      <c r="AA52" s="181">
        <f>(Y52/G52)*100</f>
        <v>0</v>
      </c>
      <c r="AB52" s="176"/>
      <c r="AC52" s="210"/>
    </row>
    <row r="53" spans="1:29" s="56" customFormat="1" ht="144" customHeight="1" x14ac:dyDescent="0.4">
      <c r="A53" s="47"/>
      <c r="B53" s="66"/>
      <c r="C53" s="48" t="s">
        <v>85</v>
      </c>
      <c r="D53" s="48" t="s">
        <v>86</v>
      </c>
      <c r="E53" s="52">
        <v>100</v>
      </c>
      <c r="F53" s="50" t="s">
        <v>20</v>
      </c>
      <c r="G53" s="51">
        <v>100000000</v>
      </c>
      <c r="H53" s="52">
        <v>1</v>
      </c>
      <c r="I53" s="81" t="s">
        <v>27</v>
      </c>
      <c r="J53" s="84">
        <v>2270000</v>
      </c>
      <c r="K53" s="52"/>
      <c r="L53" s="50"/>
      <c r="M53" s="51"/>
      <c r="N53" s="62"/>
      <c r="O53" s="51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3"/>
      <c r="AC53" s="213"/>
    </row>
    <row r="54" spans="1:29" s="56" customFormat="1" ht="121.5" customHeight="1" x14ac:dyDescent="0.4">
      <c r="A54" s="47"/>
      <c r="B54" s="66"/>
      <c r="C54" s="48"/>
      <c r="D54" s="48" t="s">
        <v>87</v>
      </c>
      <c r="E54" s="52">
        <v>120</v>
      </c>
      <c r="F54" s="50" t="s">
        <v>27</v>
      </c>
      <c r="G54" s="51">
        <v>813664000</v>
      </c>
      <c r="H54" s="52"/>
      <c r="I54" s="81"/>
      <c r="J54" s="84"/>
      <c r="K54" s="52">
        <v>30</v>
      </c>
      <c r="L54" s="50" t="s">
        <v>88</v>
      </c>
      <c r="M54" s="51">
        <f>M56</f>
        <v>200000000</v>
      </c>
      <c r="N54" s="52">
        <v>0</v>
      </c>
      <c r="O54" s="51">
        <f>-O56</f>
        <v>0</v>
      </c>
      <c r="P54" s="52"/>
      <c r="Q54" s="51"/>
      <c r="R54" s="53"/>
      <c r="S54" s="53"/>
      <c r="T54" s="52"/>
      <c r="U54" s="51"/>
      <c r="V54" s="52">
        <f>N54+P54+R54+T54</f>
        <v>0</v>
      </c>
      <c r="W54" s="51">
        <f>O54+Q54+S54+U54</f>
        <v>0</v>
      </c>
      <c r="X54" s="52">
        <f>H54+V54</f>
        <v>0</v>
      </c>
      <c r="Y54" s="51">
        <f>J54+W54</f>
        <v>0</v>
      </c>
      <c r="Z54" s="85">
        <f>(X54/E54)*100</f>
        <v>0</v>
      </c>
      <c r="AA54" s="68">
        <f>(Y54/G54)*100</f>
        <v>0</v>
      </c>
      <c r="AB54" s="55"/>
      <c r="AC54" s="213"/>
    </row>
    <row r="55" spans="1:29" s="38" customFormat="1" ht="95.25" customHeight="1" x14ac:dyDescent="0.4">
      <c r="A55" s="23"/>
      <c r="B55" s="69"/>
      <c r="C55" s="25" t="s">
        <v>89</v>
      </c>
      <c r="D55" s="25" t="s">
        <v>90</v>
      </c>
      <c r="E55" s="86">
        <v>1</v>
      </c>
      <c r="F55" s="57" t="s">
        <v>27</v>
      </c>
      <c r="G55" s="87">
        <v>100000000</v>
      </c>
      <c r="H55" s="33">
        <v>1</v>
      </c>
      <c r="I55" s="43" t="s">
        <v>27</v>
      </c>
      <c r="J55" s="88">
        <v>2270000</v>
      </c>
      <c r="K55" s="33"/>
      <c r="L55" s="89"/>
      <c r="M55" s="87"/>
      <c r="N55" s="33"/>
      <c r="O55" s="34"/>
      <c r="P55" s="33"/>
      <c r="Q55" s="34"/>
      <c r="R55" s="32"/>
      <c r="S55" s="34"/>
      <c r="T55" s="33"/>
      <c r="U55" s="30"/>
      <c r="V55" s="39"/>
      <c r="W55" s="39"/>
      <c r="X55" s="39"/>
      <c r="Y55" s="39"/>
      <c r="Z55" s="39"/>
      <c r="AA55" s="39"/>
      <c r="AB55" s="40"/>
      <c r="AC55" s="212"/>
    </row>
    <row r="56" spans="1:29" s="38" customFormat="1" ht="93.75" customHeight="1" x14ac:dyDescent="0.4">
      <c r="A56" s="23"/>
      <c r="B56" s="69"/>
      <c r="C56" s="197" t="s">
        <v>91</v>
      </c>
      <c r="D56" s="25" t="s">
        <v>92</v>
      </c>
      <c r="E56" s="90">
        <v>90</v>
      </c>
      <c r="F56" s="57" t="s">
        <v>93</v>
      </c>
      <c r="G56" s="87">
        <v>813664000</v>
      </c>
      <c r="H56" s="33"/>
      <c r="I56" s="43"/>
      <c r="J56" s="88"/>
      <c r="K56" s="33">
        <v>20</v>
      </c>
      <c r="L56" s="89" t="s">
        <v>41</v>
      </c>
      <c r="M56" s="87">
        <v>200000000</v>
      </c>
      <c r="N56" s="33">
        <v>0</v>
      </c>
      <c r="O56" s="34">
        <f>0+0+0</f>
        <v>0</v>
      </c>
      <c r="P56" s="33"/>
      <c r="Q56" s="34"/>
      <c r="R56" s="32"/>
      <c r="S56" s="91"/>
      <c r="T56" s="33"/>
      <c r="U56" s="30"/>
      <c r="V56" s="33">
        <f>N56+P56+R56+T56</f>
        <v>0</v>
      </c>
      <c r="W56" s="34">
        <f>O56+Q56+S56+U56</f>
        <v>0</v>
      </c>
      <c r="X56" s="33">
        <f>H56+V56</f>
        <v>0</v>
      </c>
      <c r="Y56" s="34">
        <f>J56+W56</f>
        <v>0</v>
      </c>
      <c r="Z56" s="92">
        <f>(X56/E56)*100</f>
        <v>0</v>
      </c>
      <c r="AA56" s="77">
        <f>(Y56/G56)*100</f>
        <v>0</v>
      </c>
      <c r="AB56" s="37"/>
      <c r="AC56" s="212"/>
    </row>
    <row r="57" spans="1:29" s="38" customFormat="1" ht="27" customHeight="1" x14ac:dyDescent="0.4">
      <c r="A57" s="23"/>
      <c r="B57" s="69"/>
      <c r="C57" s="25"/>
      <c r="D57" s="25"/>
      <c r="E57" s="86"/>
      <c r="F57" s="57"/>
      <c r="G57" s="87"/>
      <c r="H57" s="33"/>
      <c r="I57" s="33"/>
      <c r="J57" s="88"/>
      <c r="K57" s="33"/>
      <c r="L57" s="89"/>
      <c r="M57" s="87"/>
      <c r="N57" s="33"/>
      <c r="O57" s="34"/>
      <c r="P57" s="32"/>
      <c r="Q57" s="34"/>
      <c r="R57" s="32"/>
      <c r="S57" s="32"/>
      <c r="T57" s="33"/>
      <c r="U57" s="32"/>
      <c r="V57" s="33"/>
      <c r="W57" s="34"/>
      <c r="X57" s="33"/>
      <c r="Y57" s="34"/>
      <c r="Z57" s="192">
        <f>Z56</f>
        <v>0</v>
      </c>
      <c r="AA57" s="192">
        <f>AA56</f>
        <v>0</v>
      </c>
      <c r="AB57" s="37"/>
      <c r="AC57" s="212"/>
    </row>
    <row r="58" spans="1:29" s="9" customFormat="1" ht="121.5" customHeight="1" x14ac:dyDescent="0.4">
      <c r="A58" s="177">
        <v>7</v>
      </c>
      <c r="B58" s="186"/>
      <c r="C58" s="169" t="s">
        <v>94</v>
      </c>
      <c r="D58" s="169" t="s">
        <v>95</v>
      </c>
      <c r="E58" s="174">
        <v>22.4</v>
      </c>
      <c r="F58" s="171" t="s">
        <v>20</v>
      </c>
      <c r="G58" s="172">
        <v>548000000</v>
      </c>
      <c r="H58" s="174">
        <v>22.4</v>
      </c>
      <c r="I58" s="170" t="s">
        <v>20</v>
      </c>
      <c r="J58" s="173">
        <v>509539660</v>
      </c>
      <c r="K58" s="170"/>
      <c r="L58" s="171"/>
      <c r="M58" s="172"/>
      <c r="N58" s="170"/>
      <c r="O58" s="172"/>
      <c r="P58" s="175"/>
      <c r="Q58" s="172"/>
      <c r="R58" s="170"/>
      <c r="S58" s="172"/>
      <c r="T58" s="170"/>
      <c r="U58" s="172"/>
      <c r="V58" s="179"/>
      <c r="W58" s="179"/>
      <c r="X58" s="179"/>
      <c r="Y58" s="179"/>
      <c r="Z58" s="179"/>
      <c r="AA58" s="179"/>
      <c r="AB58" s="180"/>
      <c r="AC58" s="210"/>
    </row>
    <row r="59" spans="1:29" s="9" customFormat="1" ht="133.5" customHeight="1" x14ac:dyDescent="0.4">
      <c r="A59" s="168"/>
      <c r="B59" s="186"/>
      <c r="C59" s="169"/>
      <c r="D59" s="169" t="s">
        <v>96</v>
      </c>
      <c r="E59" s="170">
        <v>2.5</v>
      </c>
      <c r="F59" s="171" t="s">
        <v>20</v>
      </c>
      <c r="G59" s="172">
        <v>6584074000</v>
      </c>
      <c r="H59" s="174"/>
      <c r="I59" s="170"/>
      <c r="J59" s="173"/>
      <c r="K59" s="170"/>
      <c r="L59" s="171" t="s">
        <v>20</v>
      </c>
      <c r="M59" s="172">
        <f>M60+M66+M69</f>
        <v>1670174000</v>
      </c>
      <c r="N59" s="174"/>
      <c r="O59" s="172">
        <f>O60</f>
        <v>30678915</v>
      </c>
      <c r="P59" s="174"/>
      <c r="Q59" s="172"/>
      <c r="R59" s="170"/>
      <c r="S59" s="172"/>
      <c r="T59" s="174"/>
      <c r="U59" s="172"/>
      <c r="V59" s="174">
        <f>N59+P59+R59+T59</f>
        <v>0</v>
      </c>
      <c r="W59" s="172">
        <f>O59+Q59+S59+U59</f>
        <v>30678915</v>
      </c>
      <c r="X59" s="174">
        <f>H59+V59</f>
        <v>0</v>
      </c>
      <c r="Y59" s="172">
        <f>J59+W59</f>
        <v>30678915</v>
      </c>
      <c r="Z59" s="182">
        <f>(X59/E59)*100</f>
        <v>0</v>
      </c>
      <c r="AA59" s="174">
        <f>(Y59/G59)*100</f>
        <v>0.46595641239755203</v>
      </c>
      <c r="AB59" s="176"/>
      <c r="AC59" s="210"/>
    </row>
    <row r="60" spans="1:29" s="56" customFormat="1" ht="131.25" customHeight="1" x14ac:dyDescent="0.4">
      <c r="A60" s="47"/>
      <c r="B60" s="66"/>
      <c r="C60" s="48" t="s">
        <v>97</v>
      </c>
      <c r="D60" s="48" t="s">
        <v>98</v>
      </c>
      <c r="E60" s="52">
        <v>50</v>
      </c>
      <c r="F60" s="50" t="s">
        <v>20</v>
      </c>
      <c r="G60" s="51">
        <v>6584074000</v>
      </c>
      <c r="H60" s="52">
        <v>50</v>
      </c>
      <c r="I60" s="52" t="s">
        <v>20</v>
      </c>
      <c r="J60" s="84">
        <v>421297860</v>
      </c>
      <c r="K60" s="52">
        <v>50</v>
      </c>
      <c r="L60" s="67" t="s">
        <v>20</v>
      </c>
      <c r="M60" s="51">
        <f>M62+M63+M64</f>
        <v>1555174000</v>
      </c>
      <c r="N60" s="52"/>
      <c r="O60" s="51">
        <f>SUM(O62:O64)</f>
        <v>30678915</v>
      </c>
      <c r="P60" s="52"/>
      <c r="Q60" s="51"/>
      <c r="R60" s="52"/>
      <c r="S60" s="51"/>
      <c r="T60" s="49"/>
      <c r="U60" s="51"/>
      <c r="V60" s="49">
        <f>N60+P60+R60+T60</f>
        <v>0</v>
      </c>
      <c r="W60" s="51">
        <f>O60+Q60+S60+U60</f>
        <v>30678915</v>
      </c>
      <c r="X60" s="49">
        <f>H60+V60</f>
        <v>50</v>
      </c>
      <c r="Y60" s="51">
        <f>J60+W60</f>
        <v>451976775</v>
      </c>
      <c r="Z60" s="54">
        <f>(X60/E60)*100</f>
        <v>100</v>
      </c>
      <c r="AA60" s="49">
        <f>(Y60/G60)*100</f>
        <v>6.8646976780637639</v>
      </c>
      <c r="AB60" s="55"/>
      <c r="AC60" s="213"/>
    </row>
    <row r="61" spans="1:29" s="94" customFormat="1" ht="179.25" customHeight="1" x14ac:dyDescent="0.4">
      <c r="A61" s="23"/>
      <c r="B61" s="69"/>
      <c r="C61" s="197" t="s">
        <v>99</v>
      </c>
      <c r="D61" s="25" t="s">
        <v>100</v>
      </c>
      <c r="E61" s="90">
        <v>48</v>
      </c>
      <c r="F61" s="93" t="s">
        <v>101</v>
      </c>
      <c r="G61" s="73">
        <f>367000000+76000000</f>
        <v>443000000</v>
      </c>
      <c r="H61" s="29">
        <v>48</v>
      </c>
      <c r="I61" s="29" t="s">
        <v>101</v>
      </c>
      <c r="J61" s="74">
        <v>421297860</v>
      </c>
      <c r="K61" s="90"/>
      <c r="L61" s="93"/>
      <c r="M61" s="73"/>
      <c r="N61" s="29"/>
      <c r="O61" s="39"/>
      <c r="P61" s="29"/>
      <c r="Q61" s="30"/>
      <c r="R61" s="29"/>
      <c r="S61" s="30"/>
      <c r="T61" s="29"/>
      <c r="U61" s="30"/>
      <c r="V61" s="39"/>
      <c r="W61" s="39"/>
      <c r="X61" s="39"/>
      <c r="Y61" s="39"/>
      <c r="Z61" s="39"/>
      <c r="AA61" s="39"/>
      <c r="AB61" s="40"/>
      <c r="AC61" s="214"/>
    </row>
    <row r="62" spans="1:29" s="94" customFormat="1" ht="141.75" customHeight="1" x14ac:dyDescent="0.4">
      <c r="A62" s="23"/>
      <c r="B62" s="69"/>
      <c r="C62" s="25"/>
      <c r="D62" s="25" t="s">
        <v>102</v>
      </c>
      <c r="E62" s="90">
        <v>432</v>
      </c>
      <c r="F62" s="93" t="s">
        <v>41</v>
      </c>
      <c r="G62" s="73">
        <v>2892384000</v>
      </c>
      <c r="H62" s="29"/>
      <c r="I62" s="29"/>
      <c r="J62" s="74"/>
      <c r="K62" s="90">
        <v>80</v>
      </c>
      <c r="L62" s="93" t="s">
        <v>41</v>
      </c>
      <c r="M62" s="73">
        <v>833100000</v>
      </c>
      <c r="N62" s="29"/>
      <c r="O62" s="30">
        <f>10224505+10227205+10227205</f>
        <v>30678915</v>
      </c>
      <c r="P62" s="27"/>
      <c r="Q62" s="30"/>
      <c r="R62" s="33"/>
      <c r="S62" s="30"/>
      <c r="T62" s="33"/>
      <c r="U62" s="30"/>
      <c r="V62" s="36">
        <f t="shared" ref="V62:W64" si="0">N62+P62+R62+T62</f>
        <v>0</v>
      </c>
      <c r="W62" s="34">
        <f t="shared" si="0"/>
        <v>30678915</v>
      </c>
      <c r="X62" s="36">
        <f>H62+V62</f>
        <v>0</v>
      </c>
      <c r="Y62" s="34">
        <f>J62+W62</f>
        <v>30678915</v>
      </c>
      <c r="Z62" s="36">
        <f>(X62/E62)*100</f>
        <v>0</v>
      </c>
      <c r="AA62" s="77">
        <f>(Y62/G62)*100</f>
        <v>1.0606791836768561</v>
      </c>
      <c r="AB62" s="37"/>
      <c r="AC62" s="214"/>
    </row>
    <row r="63" spans="1:29" s="94" customFormat="1" ht="243" customHeight="1" x14ac:dyDescent="0.4">
      <c r="A63" s="23"/>
      <c r="B63" s="69"/>
      <c r="C63" s="197" t="s">
        <v>103</v>
      </c>
      <c r="D63" s="25" t="s">
        <v>104</v>
      </c>
      <c r="E63" s="90">
        <v>20</v>
      </c>
      <c r="F63" s="93" t="s">
        <v>105</v>
      </c>
      <c r="G63" s="73">
        <v>120000000</v>
      </c>
      <c r="H63" s="29"/>
      <c r="I63" s="29"/>
      <c r="J63" s="74"/>
      <c r="K63" s="90">
        <v>5</v>
      </c>
      <c r="L63" s="93" t="s">
        <v>106</v>
      </c>
      <c r="M63" s="73">
        <v>172074000</v>
      </c>
      <c r="N63" s="29">
        <v>0</v>
      </c>
      <c r="O63" s="30">
        <f>0+0+0</f>
        <v>0</v>
      </c>
      <c r="P63" s="29"/>
      <c r="Q63" s="30"/>
      <c r="R63" s="29"/>
      <c r="S63" s="30"/>
      <c r="T63" s="29"/>
      <c r="U63" s="30"/>
      <c r="V63" s="36">
        <f t="shared" si="0"/>
        <v>0</v>
      </c>
      <c r="W63" s="34">
        <f t="shared" si="0"/>
        <v>0</v>
      </c>
      <c r="X63" s="36">
        <f>H63+V63</f>
        <v>0</v>
      </c>
      <c r="Y63" s="34">
        <f>J63+W63</f>
        <v>0</v>
      </c>
      <c r="Z63" s="36">
        <f>(X63/E63)*100</f>
        <v>0</v>
      </c>
      <c r="AA63" s="77">
        <f>(Y63/G63)*100</f>
        <v>0</v>
      </c>
      <c r="AB63" s="37"/>
      <c r="AC63" s="214"/>
    </row>
    <row r="64" spans="1:29" s="94" customFormat="1" ht="131.25" customHeight="1" x14ac:dyDescent="0.4">
      <c r="A64" s="23"/>
      <c r="B64" s="69"/>
      <c r="C64" s="197" t="s">
        <v>107</v>
      </c>
      <c r="D64" s="25" t="s">
        <v>108</v>
      </c>
      <c r="E64" s="90">
        <v>20</v>
      </c>
      <c r="F64" s="93" t="s">
        <v>109</v>
      </c>
      <c r="G64" s="73">
        <v>3100000000</v>
      </c>
      <c r="H64" s="29"/>
      <c r="I64" s="29"/>
      <c r="J64" s="74"/>
      <c r="K64" s="90">
        <v>5</v>
      </c>
      <c r="L64" s="93" t="s">
        <v>110</v>
      </c>
      <c r="M64" s="73">
        <v>550000000</v>
      </c>
      <c r="N64" s="29">
        <v>0</v>
      </c>
      <c r="O64" s="30">
        <f>0+0+0</f>
        <v>0</v>
      </c>
      <c r="P64" s="29"/>
      <c r="Q64" s="30"/>
      <c r="R64" s="29"/>
      <c r="S64" s="30"/>
      <c r="T64" s="29"/>
      <c r="U64" s="30"/>
      <c r="V64" s="36">
        <f t="shared" si="0"/>
        <v>0</v>
      </c>
      <c r="W64" s="34">
        <f t="shared" si="0"/>
        <v>0</v>
      </c>
      <c r="X64" s="36">
        <f>H64+V64</f>
        <v>0</v>
      </c>
      <c r="Y64" s="34">
        <f>J64+W64</f>
        <v>0</v>
      </c>
      <c r="Z64" s="36">
        <f>(X64/E64)*100</f>
        <v>0</v>
      </c>
      <c r="AA64" s="77">
        <f>(Y64/G64)*100</f>
        <v>0</v>
      </c>
      <c r="AB64" s="37"/>
      <c r="AC64" s="214"/>
    </row>
    <row r="65" spans="1:29" s="56" customFormat="1" ht="149.25" customHeight="1" x14ac:dyDescent="0.4">
      <c r="A65" s="47"/>
      <c r="B65" s="66"/>
      <c r="C65" s="48" t="s">
        <v>111</v>
      </c>
      <c r="D65" s="48" t="s">
        <v>112</v>
      </c>
      <c r="E65" s="52">
        <v>100</v>
      </c>
      <c r="F65" s="50" t="s">
        <v>20</v>
      </c>
      <c r="G65" s="51">
        <v>55000000</v>
      </c>
      <c r="H65" s="52">
        <v>50</v>
      </c>
      <c r="I65" s="52" t="s">
        <v>20</v>
      </c>
      <c r="J65" s="84">
        <v>47912600</v>
      </c>
      <c r="K65" s="53"/>
      <c r="L65" s="50"/>
      <c r="M65" s="51"/>
      <c r="N65" s="52"/>
      <c r="O65" s="51"/>
      <c r="P65" s="52"/>
      <c r="Q65" s="51"/>
      <c r="R65" s="52"/>
      <c r="S65" s="51"/>
      <c r="T65" s="52"/>
      <c r="U65" s="53"/>
      <c r="V65" s="49"/>
      <c r="W65" s="51"/>
      <c r="X65" s="49"/>
      <c r="Y65" s="51"/>
      <c r="Z65" s="54"/>
      <c r="AA65" s="68"/>
      <c r="AB65" s="55"/>
      <c r="AC65" s="213"/>
    </row>
    <row r="66" spans="1:29" s="56" customFormat="1" ht="141" customHeight="1" x14ac:dyDescent="0.4">
      <c r="A66" s="47"/>
      <c r="B66" s="66"/>
      <c r="C66" s="48"/>
      <c r="D66" s="48" t="s">
        <v>112</v>
      </c>
      <c r="E66" s="52">
        <v>100</v>
      </c>
      <c r="F66" s="50" t="s">
        <v>20</v>
      </c>
      <c r="G66" s="51">
        <v>279345000</v>
      </c>
      <c r="H66" s="52"/>
      <c r="I66" s="52"/>
      <c r="J66" s="84"/>
      <c r="K66" s="52">
        <v>100</v>
      </c>
      <c r="L66" s="50" t="s">
        <v>20</v>
      </c>
      <c r="M66" s="51">
        <v>55000000</v>
      </c>
      <c r="N66" s="52">
        <v>0</v>
      </c>
      <c r="O66" s="51">
        <f>O68</f>
        <v>0</v>
      </c>
      <c r="P66" s="52"/>
      <c r="Q66" s="51"/>
      <c r="R66" s="52"/>
      <c r="S66" s="51"/>
      <c r="T66" s="52"/>
      <c r="U66" s="53"/>
      <c r="V66" s="49">
        <f>N66+P66+R66+T66</f>
        <v>0</v>
      </c>
      <c r="W66" s="51">
        <f>O66+Q66+S66+U66</f>
        <v>0</v>
      </c>
      <c r="X66" s="49">
        <f>H66+V66</f>
        <v>0</v>
      </c>
      <c r="Y66" s="51">
        <f>J66+W66</f>
        <v>0</v>
      </c>
      <c r="Z66" s="54">
        <f>(X66/E66)*100</f>
        <v>0</v>
      </c>
      <c r="AA66" s="68">
        <f>(Y66/G66)*100</f>
        <v>0</v>
      </c>
      <c r="AB66" s="55"/>
      <c r="AC66" s="213"/>
    </row>
    <row r="67" spans="1:29" s="2" customFormat="1" ht="116.25" customHeight="1" x14ac:dyDescent="0.4">
      <c r="A67" s="23"/>
      <c r="B67" s="69"/>
      <c r="C67" s="197" t="s">
        <v>113</v>
      </c>
      <c r="D67" s="25" t="s">
        <v>114</v>
      </c>
      <c r="E67" s="57">
        <v>20</v>
      </c>
      <c r="F67" s="57" t="s">
        <v>115</v>
      </c>
      <c r="G67" s="73">
        <v>55000000</v>
      </c>
      <c r="H67" s="33">
        <v>20</v>
      </c>
      <c r="I67" s="33" t="s">
        <v>115</v>
      </c>
      <c r="J67" s="88">
        <v>47912600</v>
      </c>
      <c r="K67" s="76"/>
      <c r="L67" s="95"/>
      <c r="M67" s="30"/>
      <c r="N67" s="33"/>
      <c r="O67" s="34"/>
      <c r="P67" s="33"/>
      <c r="Q67" s="34"/>
      <c r="R67" s="33"/>
      <c r="S67" s="34"/>
      <c r="T67" s="33"/>
      <c r="U67" s="34"/>
      <c r="V67" s="33"/>
      <c r="W67" s="34"/>
      <c r="X67" s="33"/>
      <c r="Y67" s="34"/>
      <c r="Z67" s="35"/>
      <c r="AA67" s="36"/>
      <c r="AB67" s="37"/>
      <c r="AC67" s="215"/>
    </row>
    <row r="68" spans="1:29" s="96" customFormat="1" ht="83.25" customHeight="1" x14ac:dyDescent="0.4">
      <c r="A68" s="23"/>
      <c r="B68" s="69"/>
      <c r="C68" s="25"/>
      <c r="D68" s="25" t="s">
        <v>116</v>
      </c>
      <c r="E68" s="57">
        <v>20</v>
      </c>
      <c r="F68" s="57" t="s">
        <v>105</v>
      </c>
      <c r="G68" s="73">
        <v>224345000</v>
      </c>
      <c r="H68" s="33"/>
      <c r="I68" s="33"/>
      <c r="J68" s="88"/>
      <c r="K68" s="57">
        <v>20</v>
      </c>
      <c r="L68" s="57" t="s">
        <v>105</v>
      </c>
      <c r="M68" s="30">
        <v>55000000</v>
      </c>
      <c r="N68" s="33">
        <v>0</v>
      </c>
      <c r="O68" s="34">
        <f>0+0+0</f>
        <v>0</v>
      </c>
      <c r="P68" s="43"/>
      <c r="Q68" s="30"/>
      <c r="R68" s="33"/>
      <c r="S68" s="34"/>
      <c r="T68" s="33"/>
      <c r="U68" s="34"/>
      <c r="V68" s="36">
        <f>N68+P68+R68+T68</f>
        <v>0</v>
      </c>
      <c r="W68" s="34">
        <f>O68+Q68+S68+U68</f>
        <v>0</v>
      </c>
      <c r="X68" s="36">
        <f>H68+V68</f>
        <v>0</v>
      </c>
      <c r="Y68" s="34">
        <f>J68+W68</f>
        <v>0</v>
      </c>
      <c r="Z68" s="35">
        <f>(X68/E68)*100</f>
        <v>0</v>
      </c>
      <c r="AA68" s="77">
        <f>(Y68/G68)*100</f>
        <v>0</v>
      </c>
      <c r="AB68" s="37"/>
      <c r="AC68" s="216"/>
    </row>
    <row r="69" spans="1:29" s="56" customFormat="1" ht="157.5" customHeight="1" x14ac:dyDescent="0.4">
      <c r="A69" s="47"/>
      <c r="B69" s="66"/>
      <c r="C69" s="48" t="s">
        <v>117</v>
      </c>
      <c r="D69" s="48" t="s">
        <v>118</v>
      </c>
      <c r="E69" s="52">
        <v>50</v>
      </c>
      <c r="F69" s="50" t="s">
        <v>20</v>
      </c>
      <c r="G69" s="51">
        <v>297345000</v>
      </c>
      <c r="H69" s="52">
        <v>50</v>
      </c>
      <c r="I69" s="52" t="s">
        <v>20</v>
      </c>
      <c r="J69" s="84">
        <v>40329200</v>
      </c>
      <c r="K69" s="52">
        <v>50</v>
      </c>
      <c r="L69" s="67" t="s">
        <v>20</v>
      </c>
      <c r="M69" s="51">
        <v>60000000</v>
      </c>
      <c r="N69" s="52">
        <v>0</v>
      </c>
      <c r="O69" s="51">
        <f>O71</f>
        <v>0</v>
      </c>
      <c r="P69" s="53"/>
      <c r="Q69" s="51"/>
      <c r="R69" s="52"/>
      <c r="S69" s="97"/>
      <c r="T69" s="49"/>
      <c r="U69" s="51"/>
      <c r="V69" s="49">
        <f>N69+P69+R69+T69</f>
        <v>0</v>
      </c>
      <c r="W69" s="51">
        <f>O69+Q69+S69+U69</f>
        <v>0</v>
      </c>
      <c r="X69" s="49">
        <f>H69+V69</f>
        <v>50</v>
      </c>
      <c r="Y69" s="51">
        <f>J69+W69</f>
        <v>40329200</v>
      </c>
      <c r="Z69" s="54">
        <f>(X69/E69)*100</f>
        <v>100</v>
      </c>
      <c r="AA69" s="68">
        <f>(Y69/G69)*100</f>
        <v>13.563100102574452</v>
      </c>
      <c r="AB69" s="55"/>
      <c r="AC69" s="213"/>
    </row>
    <row r="70" spans="1:29" s="96" customFormat="1" ht="126" customHeight="1" x14ac:dyDescent="0.4">
      <c r="A70" s="23"/>
      <c r="B70" s="69"/>
      <c r="C70" s="197" t="s">
        <v>119</v>
      </c>
      <c r="D70" s="25" t="s">
        <v>120</v>
      </c>
      <c r="E70" s="29">
        <v>20</v>
      </c>
      <c r="F70" s="31" t="s">
        <v>41</v>
      </c>
      <c r="G70" s="34">
        <v>297345000</v>
      </c>
      <c r="H70" s="29">
        <v>20</v>
      </c>
      <c r="I70" s="29" t="s">
        <v>41</v>
      </c>
      <c r="J70" s="74">
        <v>40329200</v>
      </c>
      <c r="K70" s="29">
        <v>20</v>
      </c>
      <c r="L70" s="31" t="s">
        <v>41</v>
      </c>
      <c r="M70" s="30">
        <v>53844800</v>
      </c>
      <c r="N70" s="33"/>
      <c r="O70" s="34"/>
      <c r="P70" s="32"/>
      <c r="Q70" s="34"/>
      <c r="R70" s="29"/>
      <c r="S70" s="98"/>
      <c r="T70" s="29"/>
      <c r="U70" s="30"/>
      <c r="V70" s="36"/>
      <c r="W70" s="34"/>
      <c r="X70" s="36"/>
      <c r="Y70" s="34"/>
      <c r="Z70" s="35"/>
      <c r="AA70" s="77"/>
      <c r="AB70" s="37"/>
      <c r="AC70" s="216"/>
    </row>
    <row r="71" spans="1:29" s="96" customFormat="1" ht="126" customHeight="1" x14ac:dyDescent="0.4">
      <c r="A71" s="23"/>
      <c r="B71" s="69"/>
      <c r="C71" s="25"/>
      <c r="D71" s="25" t="s">
        <v>207</v>
      </c>
      <c r="E71" s="29">
        <v>8</v>
      </c>
      <c r="F71" s="31" t="s">
        <v>27</v>
      </c>
      <c r="G71" s="34">
        <v>297345000</v>
      </c>
      <c r="H71" s="29">
        <v>20</v>
      </c>
      <c r="I71" s="29" t="s">
        <v>41</v>
      </c>
      <c r="J71" s="74">
        <v>40329200</v>
      </c>
      <c r="K71" s="29">
        <v>2</v>
      </c>
      <c r="L71" s="31" t="s">
        <v>27</v>
      </c>
      <c r="M71" s="30">
        <v>60000000</v>
      </c>
      <c r="N71" s="33">
        <v>0</v>
      </c>
      <c r="O71" s="34">
        <f>0+0+0</f>
        <v>0</v>
      </c>
      <c r="P71" s="32"/>
      <c r="Q71" s="34"/>
      <c r="R71" s="29"/>
      <c r="S71" s="30"/>
      <c r="T71" s="29"/>
      <c r="U71" s="30"/>
      <c r="V71" s="36">
        <f>N71+P71+R71+T71</f>
        <v>0</v>
      </c>
      <c r="W71" s="34">
        <f t="shared" ref="W71" si="1">O71+Q71+S71+U71</f>
        <v>0</v>
      </c>
      <c r="X71" s="36">
        <f>H71+V71</f>
        <v>20</v>
      </c>
      <c r="Y71" s="34">
        <f t="shared" ref="Y71" si="2">J71+W71</f>
        <v>40329200</v>
      </c>
      <c r="Z71" s="35">
        <f>(X71/E71)*100</f>
        <v>250</v>
      </c>
      <c r="AA71" s="77">
        <f>(Y71/G71)*100</f>
        <v>13.563100102574452</v>
      </c>
      <c r="AB71" s="37"/>
      <c r="AC71" s="216"/>
    </row>
    <row r="72" spans="1:29" s="38" customFormat="1" ht="47.25" customHeight="1" x14ac:dyDescent="0.4">
      <c r="A72" s="23"/>
      <c r="B72" s="69"/>
      <c r="C72" s="25"/>
      <c r="D72" s="25"/>
      <c r="E72" s="29"/>
      <c r="F72" s="31"/>
      <c r="G72" s="34"/>
      <c r="H72" s="33"/>
      <c r="I72" s="33"/>
      <c r="J72" s="88"/>
      <c r="K72" s="76"/>
      <c r="L72" s="31"/>
      <c r="M72" s="34"/>
      <c r="N72" s="33"/>
      <c r="O72" s="34"/>
      <c r="P72" s="32"/>
      <c r="Q72" s="34"/>
      <c r="R72" s="32"/>
      <c r="S72" s="32"/>
      <c r="T72" s="33"/>
      <c r="U72" s="32"/>
      <c r="V72" s="33"/>
      <c r="W72" s="34"/>
      <c r="X72" s="33"/>
      <c r="Y72" s="34"/>
      <c r="Z72" s="46">
        <f>(Z62+Z63+Z64+Z68+Z71)/5</f>
        <v>50</v>
      </c>
      <c r="AA72" s="46">
        <f>(AA62+AA63+AA64+AA68+AA71)/5</f>
        <v>2.9247558572502617</v>
      </c>
      <c r="AB72" s="37"/>
      <c r="AC72" s="212"/>
    </row>
    <row r="73" spans="1:29" s="9" customFormat="1" ht="132.75" customHeight="1" x14ac:dyDescent="0.4">
      <c r="A73" s="177">
        <v>8</v>
      </c>
      <c r="B73" s="186"/>
      <c r="C73" s="169" t="s">
        <v>121</v>
      </c>
      <c r="D73" s="169" t="s">
        <v>122</v>
      </c>
      <c r="E73" s="170">
        <v>18</v>
      </c>
      <c r="F73" s="171" t="s">
        <v>20</v>
      </c>
      <c r="G73" s="172">
        <v>486040000</v>
      </c>
      <c r="H73" s="170">
        <v>18</v>
      </c>
      <c r="I73" s="170" t="s">
        <v>20</v>
      </c>
      <c r="J73" s="173">
        <v>301186800</v>
      </c>
      <c r="K73" s="175"/>
      <c r="L73" s="187"/>
      <c r="M73" s="172"/>
      <c r="N73" s="170"/>
      <c r="O73" s="179"/>
      <c r="P73" s="175"/>
      <c r="Q73" s="179"/>
      <c r="R73" s="170"/>
      <c r="S73" s="172"/>
      <c r="T73" s="170"/>
      <c r="U73" s="175"/>
      <c r="V73" s="182"/>
      <c r="W73" s="172"/>
      <c r="X73" s="170"/>
      <c r="Y73" s="172"/>
      <c r="Z73" s="188"/>
      <c r="AA73" s="174"/>
      <c r="AB73" s="176"/>
      <c r="AC73" s="210"/>
    </row>
    <row r="74" spans="1:29" s="9" customFormat="1" ht="250.5" customHeight="1" x14ac:dyDescent="0.4">
      <c r="A74" s="168"/>
      <c r="B74" s="186"/>
      <c r="C74" s="169"/>
      <c r="D74" s="169" t="s">
        <v>123</v>
      </c>
      <c r="E74" s="174">
        <v>23.6</v>
      </c>
      <c r="F74" s="171" t="s">
        <v>20</v>
      </c>
      <c r="G74" s="172">
        <v>2889854000</v>
      </c>
      <c r="H74" s="170"/>
      <c r="I74" s="170"/>
      <c r="J74" s="173"/>
      <c r="K74" s="207">
        <v>22.8</v>
      </c>
      <c r="L74" s="187" t="s">
        <v>20</v>
      </c>
      <c r="M74" s="172">
        <v>922934000</v>
      </c>
      <c r="N74" s="174"/>
      <c r="O74" s="172">
        <f>O76+O85</f>
        <v>17580000</v>
      </c>
      <c r="P74" s="174">
        <v>0</v>
      </c>
      <c r="Q74" s="172">
        <f>Q76+Q85</f>
        <v>0</v>
      </c>
      <c r="R74" s="174">
        <v>0</v>
      </c>
      <c r="S74" s="172">
        <f>S76+S85</f>
        <v>0</v>
      </c>
      <c r="T74" s="174">
        <v>0</v>
      </c>
      <c r="U74" s="172">
        <f>U76+U85</f>
        <v>0</v>
      </c>
      <c r="V74" s="174">
        <f>N74+P74+R74+T74</f>
        <v>0</v>
      </c>
      <c r="W74" s="172">
        <f t="shared" ref="W74" si="3">O74+Q74+S74+U74</f>
        <v>17580000</v>
      </c>
      <c r="X74" s="174">
        <f>H74+V74</f>
        <v>0</v>
      </c>
      <c r="Y74" s="172">
        <f>J74+W74</f>
        <v>17580000</v>
      </c>
      <c r="Z74" s="182">
        <f>(X74/E74)*100</f>
        <v>0</v>
      </c>
      <c r="AA74" s="174">
        <f>(Y74/G74)*100</f>
        <v>0.60833523077636442</v>
      </c>
      <c r="AB74" s="176"/>
      <c r="AC74" s="210"/>
    </row>
    <row r="75" spans="1:29" s="56" customFormat="1" ht="167.25" customHeight="1" x14ac:dyDescent="0.4">
      <c r="A75" s="47"/>
      <c r="B75" s="66"/>
      <c r="C75" s="48" t="s">
        <v>124</v>
      </c>
      <c r="D75" s="48" t="s">
        <v>125</v>
      </c>
      <c r="E75" s="52">
        <v>100</v>
      </c>
      <c r="F75" s="50" t="s">
        <v>20</v>
      </c>
      <c r="G75" s="51">
        <v>215240000</v>
      </c>
      <c r="H75" s="52">
        <v>94.29</v>
      </c>
      <c r="I75" s="52" t="s">
        <v>20</v>
      </c>
      <c r="J75" s="84">
        <v>121472600</v>
      </c>
      <c r="K75" s="53"/>
      <c r="L75" s="50"/>
      <c r="M75" s="51"/>
      <c r="N75" s="49"/>
      <c r="O75" s="62"/>
      <c r="P75" s="68"/>
      <c r="Q75" s="62"/>
      <c r="R75" s="52"/>
      <c r="S75" s="51"/>
      <c r="T75" s="52"/>
      <c r="U75" s="99"/>
      <c r="V75" s="52"/>
      <c r="W75" s="51"/>
      <c r="X75" s="52"/>
      <c r="Y75" s="51"/>
      <c r="Z75" s="54"/>
      <c r="AA75" s="49"/>
      <c r="AB75" s="55"/>
      <c r="AC75" s="213"/>
    </row>
    <row r="76" spans="1:29" s="56" customFormat="1" ht="139.5" customHeight="1" x14ac:dyDescent="0.4">
      <c r="A76" s="47"/>
      <c r="B76" s="66"/>
      <c r="C76" s="48"/>
      <c r="D76" s="48" t="s">
        <v>126</v>
      </c>
      <c r="E76" s="49">
        <v>8.6999999999999993</v>
      </c>
      <c r="F76" s="50" t="s">
        <v>20</v>
      </c>
      <c r="G76" s="51">
        <v>1565938000</v>
      </c>
      <c r="H76" s="52"/>
      <c r="I76" s="52"/>
      <c r="J76" s="84"/>
      <c r="K76" s="49">
        <v>8.4</v>
      </c>
      <c r="L76" s="50" t="s">
        <v>20</v>
      </c>
      <c r="M76" s="51">
        <v>602134000</v>
      </c>
      <c r="N76" s="49"/>
      <c r="O76" s="51">
        <f>O78+O80+O82</f>
        <v>17580000</v>
      </c>
      <c r="P76" s="49"/>
      <c r="Q76" s="51">
        <f>SUM(Q77:Q81)</f>
        <v>0</v>
      </c>
      <c r="R76" s="49"/>
      <c r="S76" s="51">
        <f>S78+S80+S82</f>
        <v>0</v>
      </c>
      <c r="T76" s="52"/>
      <c r="U76" s="51">
        <f>U78+U80+U82</f>
        <v>0</v>
      </c>
      <c r="V76" s="101">
        <f>N76+P76+R76+T76</f>
        <v>0</v>
      </c>
      <c r="W76" s="99">
        <f t="shared" ref="W76" si="4">O76+Q76+S76+U76</f>
        <v>17580000</v>
      </c>
      <c r="X76" s="101">
        <f>H76+V76</f>
        <v>0</v>
      </c>
      <c r="Y76" s="99">
        <f>J76+W76</f>
        <v>17580000</v>
      </c>
      <c r="Z76" s="100">
        <f>(X76/E76)*100</f>
        <v>0</v>
      </c>
      <c r="AA76" s="101">
        <f>(Y76/G76)*100</f>
        <v>1.1226498111674919</v>
      </c>
      <c r="AB76" s="55"/>
      <c r="AC76" s="213"/>
    </row>
    <row r="77" spans="1:29" s="38" customFormat="1" ht="138" customHeight="1" x14ac:dyDescent="0.4">
      <c r="A77" s="23"/>
      <c r="B77" s="69"/>
      <c r="C77" s="198" t="s">
        <v>127</v>
      </c>
      <c r="D77" s="71" t="s">
        <v>128</v>
      </c>
      <c r="E77" s="57">
        <v>15</v>
      </c>
      <c r="F77" s="57" t="s">
        <v>129</v>
      </c>
      <c r="G77" s="102">
        <v>10000000</v>
      </c>
      <c r="H77" s="29">
        <v>15</v>
      </c>
      <c r="I77" s="29" t="s">
        <v>129</v>
      </c>
      <c r="J77" s="74">
        <v>8329200</v>
      </c>
      <c r="K77" s="103"/>
      <c r="L77" s="29"/>
      <c r="M77" s="102"/>
      <c r="N77" s="33"/>
      <c r="O77" s="34"/>
      <c r="P77" s="32"/>
      <c r="Q77" s="30"/>
      <c r="R77" s="29"/>
      <c r="S77" s="30"/>
      <c r="T77" s="29"/>
      <c r="U77" s="30"/>
      <c r="V77" s="29"/>
      <c r="W77" s="30"/>
      <c r="X77" s="29"/>
      <c r="Y77" s="30"/>
      <c r="Z77" s="59"/>
      <c r="AA77" s="41"/>
      <c r="AB77" s="37"/>
      <c r="AC77" s="212"/>
    </row>
    <row r="78" spans="1:29" s="104" customFormat="1" ht="120.75" customHeight="1" x14ac:dyDescent="0.4">
      <c r="A78" s="23"/>
      <c r="B78" s="69"/>
      <c r="C78" s="70"/>
      <c r="D78" s="71" t="s">
        <v>130</v>
      </c>
      <c r="E78" s="57">
        <v>80</v>
      </c>
      <c r="F78" s="57" t="s">
        <v>41</v>
      </c>
      <c r="G78" s="102">
        <v>39845000</v>
      </c>
      <c r="H78" s="29"/>
      <c r="I78" s="29"/>
      <c r="J78" s="74"/>
      <c r="K78" s="103">
        <v>20</v>
      </c>
      <c r="L78" s="29" t="s">
        <v>41</v>
      </c>
      <c r="M78" s="102">
        <v>10000000</v>
      </c>
      <c r="N78" s="29">
        <v>0</v>
      </c>
      <c r="O78" s="74">
        <f>0+0+0</f>
        <v>0</v>
      </c>
      <c r="P78" s="29"/>
      <c r="Q78" s="30"/>
      <c r="R78" s="29"/>
      <c r="S78" s="30"/>
      <c r="T78" s="29"/>
      <c r="U78" s="30"/>
      <c r="V78" s="41">
        <f>N78+P78+R78+T78</f>
        <v>0</v>
      </c>
      <c r="W78" s="30">
        <f t="shared" ref="W78" si="5">O78+Q78+S78+U78</f>
        <v>0</v>
      </c>
      <c r="X78" s="29">
        <f>H78+V78</f>
        <v>0</v>
      </c>
      <c r="Y78" s="30">
        <f>J78+W78</f>
        <v>0</v>
      </c>
      <c r="Z78" s="59">
        <f>(X78/E78)*100</f>
        <v>0</v>
      </c>
      <c r="AA78" s="41">
        <f>(Y78/G78)*100</f>
        <v>0</v>
      </c>
      <c r="AB78" s="37"/>
      <c r="AC78" s="217"/>
    </row>
    <row r="79" spans="1:29" s="38" customFormat="1" ht="118.5" customHeight="1" x14ac:dyDescent="0.4">
      <c r="A79" s="23"/>
      <c r="B79" s="69"/>
      <c r="C79" s="198" t="s">
        <v>131</v>
      </c>
      <c r="D79" s="71" t="s">
        <v>132</v>
      </c>
      <c r="E79" s="105">
        <v>100</v>
      </c>
      <c r="F79" s="26" t="s">
        <v>133</v>
      </c>
      <c r="G79" s="73">
        <v>36000000</v>
      </c>
      <c r="H79" s="29">
        <v>100</v>
      </c>
      <c r="I79" s="29" t="s">
        <v>101</v>
      </c>
      <c r="J79" s="74">
        <v>23210000</v>
      </c>
      <c r="K79" s="78"/>
      <c r="L79" s="29"/>
      <c r="M79" s="73"/>
      <c r="N79" s="29"/>
      <c r="O79" s="30"/>
      <c r="P79" s="32"/>
      <c r="Q79" s="30"/>
      <c r="R79" s="29"/>
      <c r="S79" s="30"/>
      <c r="T79" s="29"/>
      <c r="U79" s="30"/>
      <c r="V79" s="41"/>
      <c r="W79" s="30"/>
      <c r="X79" s="29"/>
      <c r="Y79" s="30"/>
      <c r="Z79" s="59"/>
      <c r="AA79" s="41"/>
      <c r="AB79" s="37"/>
      <c r="AC79" s="212"/>
    </row>
    <row r="80" spans="1:29" s="104" customFormat="1" ht="132.75" customHeight="1" x14ac:dyDescent="0.4">
      <c r="A80" s="23"/>
      <c r="B80" s="69"/>
      <c r="C80" s="70"/>
      <c r="D80" s="71" t="s">
        <v>134</v>
      </c>
      <c r="E80" s="105">
        <v>500</v>
      </c>
      <c r="F80" s="26" t="s">
        <v>41</v>
      </c>
      <c r="G80" s="73">
        <v>146445000</v>
      </c>
      <c r="H80" s="29"/>
      <c r="I80" s="29"/>
      <c r="J80" s="74"/>
      <c r="K80" s="78">
        <v>100</v>
      </c>
      <c r="L80" s="29" t="s">
        <v>41</v>
      </c>
      <c r="M80" s="73">
        <v>120000000</v>
      </c>
      <c r="N80" s="29"/>
      <c r="O80" s="30">
        <f>0+0+17580000</f>
        <v>17580000</v>
      </c>
      <c r="P80" s="29"/>
      <c r="Q80" s="30"/>
      <c r="R80" s="29"/>
      <c r="S80" s="30"/>
      <c r="T80" s="29"/>
      <c r="U80" s="30"/>
      <c r="V80" s="41">
        <f>N80+P80+R80+T80</f>
        <v>0</v>
      </c>
      <c r="W80" s="30">
        <f t="shared" ref="W80" si="6">O80+Q80+S80+U80</f>
        <v>17580000</v>
      </c>
      <c r="X80" s="41">
        <f>H80+V80</f>
        <v>0</v>
      </c>
      <c r="Y80" s="30">
        <f>J80+W80</f>
        <v>17580000</v>
      </c>
      <c r="Z80" s="59">
        <f>(X80/E80)*100</f>
        <v>0</v>
      </c>
      <c r="AA80" s="41">
        <f>(Y80/G80)*100</f>
        <v>12.004506811430913</v>
      </c>
      <c r="AB80" s="37"/>
      <c r="AC80" s="217"/>
    </row>
    <row r="81" spans="1:29" s="38" customFormat="1" ht="141.75" customHeight="1" x14ac:dyDescent="0.4">
      <c r="A81" s="23"/>
      <c r="B81" s="69"/>
      <c r="C81" s="198" t="s">
        <v>135</v>
      </c>
      <c r="D81" s="71" t="s">
        <v>136</v>
      </c>
      <c r="E81" s="106">
        <v>24</v>
      </c>
      <c r="F81" s="106" t="s">
        <v>137</v>
      </c>
      <c r="G81" s="73">
        <v>169240000</v>
      </c>
      <c r="H81" s="29">
        <v>24</v>
      </c>
      <c r="I81" s="29" t="s">
        <v>101</v>
      </c>
      <c r="J81" s="74">
        <v>142043400</v>
      </c>
      <c r="K81" s="78"/>
      <c r="L81" s="29"/>
      <c r="M81" s="73"/>
      <c r="N81" s="33"/>
      <c r="O81" s="34"/>
      <c r="P81" s="29"/>
      <c r="Q81" s="30"/>
      <c r="R81" s="29"/>
      <c r="S81" s="107"/>
      <c r="T81" s="29"/>
      <c r="U81" s="30"/>
      <c r="V81" s="41">
        <f t="shared" ref="V81:W82" si="7">N81+P81+R81+T81</f>
        <v>0</v>
      </c>
      <c r="W81" s="30">
        <f t="shared" si="7"/>
        <v>0</v>
      </c>
      <c r="X81" s="39"/>
      <c r="Y81" s="39"/>
      <c r="Z81" s="39"/>
      <c r="AA81" s="39"/>
      <c r="AB81" s="40"/>
      <c r="AC81" s="212"/>
    </row>
    <row r="82" spans="1:29" s="104" customFormat="1" ht="125.25" customHeight="1" x14ac:dyDescent="0.4">
      <c r="A82" s="23"/>
      <c r="B82" s="69"/>
      <c r="C82" s="70"/>
      <c r="D82" s="71" t="s">
        <v>138</v>
      </c>
      <c r="E82" s="106">
        <v>234</v>
      </c>
      <c r="F82" s="106" t="s">
        <v>41</v>
      </c>
      <c r="G82" s="73">
        <v>1379648000</v>
      </c>
      <c r="H82" s="29"/>
      <c r="I82" s="29"/>
      <c r="J82" s="74"/>
      <c r="K82" s="78">
        <v>64</v>
      </c>
      <c r="L82" s="29" t="s">
        <v>41</v>
      </c>
      <c r="M82" s="73">
        <v>472134000</v>
      </c>
      <c r="N82" s="29">
        <v>0</v>
      </c>
      <c r="O82" s="34">
        <f>0+0+0</f>
        <v>0</v>
      </c>
      <c r="P82" s="29"/>
      <c r="Q82" s="30"/>
      <c r="R82" s="29"/>
      <c r="S82" s="30"/>
      <c r="T82" s="29"/>
      <c r="U82" s="30"/>
      <c r="V82" s="41">
        <f>N82+P82+R82+T82</f>
        <v>0</v>
      </c>
      <c r="W82" s="30">
        <f t="shared" si="7"/>
        <v>0</v>
      </c>
      <c r="X82" s="29">
        <f>H82+V82</f>
        <v>0</v>
      </c>
      <c r="Y82" s="30">
        <f>J82+W82</f>
        <v>0</v>
      </c>
      <c r="Z82" s="59">
        <f>(X82/E82)*100</f>
        <v>0</v>
      </c>
      <c r="AA82" s="41">
        <f>(Y82/G82)*100</f>
        <v>0</v>
      </c>
      <c r="AB82" s="37"/>
      <c r="AC82" s="217"/>
    </row>
    <row r="83" spans="1:29" s="38" customFormat="1" ht="26.25" customHeight="1" x14ac:dyDescent="0.4">
      <c r="A83" s="23"/>
      <c r="B83" s="69"/>
      <c r="C83" s="70"/>
      <c r="D83" s="71"/>
      <c r="E83" s="106"/>
      <c r="F83" s="106"/>
      <c r="G83" s="73"/>
      <c r="H83" s="33"/>
      <c r="I83" s="33"/>
      <c r="J83" s="88"/>
      <c r="K83" s="78"/>
      <c r="L83" s="33"/>
      <c r="M83" s="73"/>
      <c r="N83" s="33"/>
      <c r="O83" s="34"/>
      <c r="P83" s="32"/>
      <c r="Q83" s="34"/>
      <c r="R83" s="32"/>
      <c r="S83" s="32"/>
      <c r="T83" s="33"/>
      <c r="U83" s="32"/>
      <c r="V83" s="33"/>
      <c r="W83" s="34"/>
      <c r="X83" s="33"/>
      <c r="Y83" s="34"/>
      <c r="Z83" s="46">
        <f>(Z78+Z80+Z82)/3</f>
        <v>0</v>
      </c>
      <c r="AA83" s="46">
        <f>(AA78+AA80+AA82)/3</f>
        <v>4.0015022704769709</v>
      </c>
      <c r="AB83" s="108"/>
      <c r="AC83" s="212"/>
    </row>
    <row r="84" spans="1:29" s="56" customFormat="1" ht="187.5" customHeight="1" x14ac:dyDescent="0.4">
      <c r="A84" s="47"/>
      <c r="B84" s="66"/>
      <c r="C84" s="48" t="s">
        <v>139</v>
      </c>
      <c r="D84" s="48" t="s">
        <v>140</v>
      </c>
      <c r="E84" s="52">
        <v>24.17</v>
      </c>
      <c r="F84" s="50" t="s">
        <v>20</v>
      </c>
      <c r="G84" s="51">
        <v>473200000</v>
      </c>
      <c r="H84" s="52">
        <v>24.17</v>
      </c>
      <c r="I84" s="52" t="s">
        <v>20</v>
      </c>
      <c r="J84" s="84">
        <v>262644600</v>
      </c>
      <c r="K84" s="53"/>
      <c r="L84" s="50"/>
      <c r="M84" s="84"/>
      <c r="N84" s="52"/>
      <c r="O84" s="62"/>
      <c r="P84" s="52"/>
      <c r="Q84" s="62"/>
      <c r="R84" s="53"/>
      <c r="S84" s="51"/>
      <c r="T84" s="52"/>
      <c r="U84" s="51"/>
      <c r="V84" s="49"/>
      <c r="W84" s="51"/>
      <c r="X84" s="52"/>
      <c r="Y84" s="51"/>
      <c r="Z84" s="54"/>
      <c r="AA84" s="68"/>
      <c r="AB84" s="55"/>
      <c r="AC84" s="213"/>
    </row>
    <row r="85" spans="1:29" s="56" customFormat="1" ht="87" customHeight="1" x14ac:dyDescent="0.4">
      <c r="A85" s="47"/>
      <c r="B85" s="66"/>
      <c r="C85" s="48"/>
      <c r="D85" s="48" t="s">
        <v>141</v>
      </c>
      <c r="E85" s="52">
        <v>1</v>
      </c>
      <c r="F85" s="67" t="s">
        <v>142</v>
      </c>
      <c r="G85" s="51">
        <v>1323916000</v>
      </c>
      <c r="H85" s="52"/>
      <c r="I85" s="52"/>
      <c r="J85" s="84"/>
      <c r="K85" s="52">
        <v>1</v>
      </c>
      <c r="L85" s="67" t="s">
        <v>142</v>
      </c>
      <c r="M85" s="84">
        <v>320800000</v>
      </c>
      <c r="N85" s="52">
        <v>0</v>
      </c>
      <c r="O85" s="84">
        <f>SUM(O87:O89)</f>
        <v>0</v>
      </c>
      <c r="P85" s="52"/>
      <c r="Q85" s="84"/>
      <c r="R85" s="52"/>
      <c r="S85" s="51"/>
      <c r="T85" s="52"/>
      <c r="U85" s="51"/>
      <c r="V85" s="52">
        <f>N85+P85+R85+T85</f>
        <v>0</v>
      </c>
      <c r="W85" s="51">
        <f t="shared" ref="W85" si="8">O85+Q85+S85+U85</f>
        <v>0</v>
      </c>
      <c r="X85" s="52">
        <f>H85+V85</f>
        <v>0</v>
      </c>
      <c r="Y85" s="51">
        <f>J85+W85</f>
        <v>0</v>
      </c>
      <c r="Z85" s="54">
        <f>(X85/E85)*100</f>
        <v>0</v>
      </c>
      <c r="AA85" s="49">
        <f>(Y85/G85)*100</f>
        <v>0</v>
      </c>
      <c r="AB85" s="55"/>
      <c r="AC85" s="213"/>
    </row>
    <row r="86" spans="1:29" s="38" customFormat="1" ht="136.5" customHeight="1" x14ac:dyDescent="0.4">
      <c r="A86" s="23"/>
      <c r="B86" s="69"/>
      <c r="C86" s="198" t="s">
        <v>143</v>
      </c>
      <c r="D86" s="109" t="s">
        <v>141</v>
      </c>
      <c r="E86" s="110">
        <v>1</v>
      </c>
      <c r="F86" s="57" t="s">
        <v>142</v>
      </c>
      <c r="G86" s="111">
        <f>59400000+38400000</f>
        <v>97800000</v>
      </c>
      <c r="H86" s="110">
        <v>1</v>
      </c>
      <c r="I86" s="57" t="s">
        <v>142</v>
      </c>
      <c r="J86" s="88">
        <v>92944600</v>
      </c>
      <c r="K86" s="110"/>
      <c r="L86" s="57"/>
      <c r="M86" s="73"/>
      <c r="N86" s="33"/>
      <c r="O86" s="39"/>
      <c r="P86" s="33"/>
      <c r="Q86" s="34"/>
      <c r="R86" s="33"/>
      <c r="S86" s="34"/>
      <c r="T86" s="33"/>
      <c r="U86" s="30"/>
      <c r="V86" s="33"/>
      <c r="W86" s="34"/>
      <c r="X86" s="39"/>
      <c r="Y86" s="39"/>
      <c r="Z86" s="39"/>
      <c r="AA86" s="39"/>
      <c r="AB86" s="40"/>
      <c r="AC86" s="212"/>
    </row>
    <row r="87" spans="1:29" s="38" customFormat="1" ht="176.25" customHeight="1" x14ac:dyDescent="0.4">
      <c r="A87" s="23"/>
      <c r="B87" s="69"/>
      <c r="C87" s="70"/>
      <c r="D87" s="109" t="s">
        <v>144</v>
      </c>
      <c r="E87" s="110">
        <v>6000</v>
      </c>
      <c r="F87" s="57" t="s">
        <v>145</v>
      </c>
      <c r="G87" s="111">
        <v>391200000</v>
      </c>
      <c r="H87" s="110"/>
      <c r="I87" s="57"/>
      <c r="J87" s="88"/>
      <c r="K87" s="110">
        <v>1500</v>
      </c>
      <c r="L87" s="57" t="s">
        <v>41</v>
      </c>
      <c r="M87" s="73">
        <v>97800000</v>
      </c>
      <c r="N87" s="29">
        <v>0</v>
      </c>
      <c r="O87" s="34">
        <f>0+0+0</f>
        <v>0</v>
      </c>
      <c r="P87" s="29"/>
      <c r="Q87" s="30"/>
      <c r="R87" s="33"/>
      <c r="S87" s="30"/>
      <c r="T87" s="33"/>
      <c r="U87" s="30"/>
      <c r="V87" s="41">
        <f>N87+P87+R87+T87</f>
        <v>0</v>
      </c>
      <c r="W87" s="30">
        <f t="shared" ref="W87" si="9">O87+Q87+S87+U87</f>
        <v>0</v>
      </c>
      <c r="X87" s="29">
        <f>H87+V87</f>
        <v>0</v>
      </c>
      <c r="Y87" s="30">
        <f>J87+W87</f>
        <v>0</v>
      </c>
      <c r="Z87" s="59">
        <f>(X87/E87)*100</f>
        <v>0</v>
      </c>
      <c r="AA87" s="41">
        <f>(Y87/G87)*100</f>
        <v>0</v>
      </c>
      <c r="AB87" s="37"/>
      <c r="AC87" s="212"/>
    </row>
    <row r="88" spans="1:29" s="38" customFormat="1" ht="102.75" customHeight="1" x14ac:dyDescent="0.4">
      <c r="A88" s="23"/>
      <c r="B88" s="69"/>
      <c r="C88" s="198" t="s">
        <v>146</v>
      </c>
      <c r="D88" s="71" t="s">
        <v>147</v>
      </c>
      <c r="E88" s="26">
        <v>515</v>
      </c>
      <c r="F88" s="26" t="s">
        <v>148</v>
      </c>
      <c r="G88" s="73">
        <v>173000000</v>
      </c>
      <c r="H88" s="33">
        <v>515</v>
      </c>
      <c r="I88" s="33" t="s">
        <v>41</v>
      </c>
      <c r="J88" s="88">
        <v>169700000</v>
      </c>
      <c r="K88" s="26"/>
      <c r="L88" s="26"/>
      <c r="M88" s="73"/>
      <c r="N88" s="33"/>
      <c r="O88" s="34"/>
      <c r="P88" s="32"/>
      <c r="Q88" s="34"/>
      <c r="R88" s="33"/>
      <c r="S88" s="34"/>
      <c r="T88" s="33"/>
      <c r="U88" s="112"/>
      <c r="V88" s="221"/>
      <c r="W88" s="39"/>
      <c r="X88" s="39"/>
      <c r="Y88" s="39"/>
      <c r="Z88" s="39"/>
      <c r="AA88" s="39"/>
      <c r="AB88" s="40"/>
      <c r="AC88" s="212"/>
    </row>
    <row r="89" spans="1:29" s="38" customFormat="1" ht="147.75" customHeight="1" x14ac:dyDescent="0.4">
      <c r="A89" s="23"/>
      <c r="B89" s="69"/>
      <c r="C89" s="70"/>
      <c r="D89" s="71" t="s">
        <v>149</v>
      </c>
      <c r="E89" s="26">
        <v>2210</v>
      </c>
      <c r="F89" s="26" t="s">
        <v>41</v>
      </c>
      <c r="G89" s="73">
        <v>932716000</v>
      </c>
      <c r="H89" s="33"/>
      <c r="I89" s="33"/>
      <c r="J89" s="88"/>
      <c r="K89" s="26">
        <v>545</v>
      </c>
      <c r="L89" s="26" t="s">
        <v>41</v>
      </c>
      <c r="M89" s="73">
        <v>223000000</v>
      </c>
      <c r="N89" s="29">
        <v>0</v>
      </c>
      <c r="O89" s="34">
        <f>0+0+0</f>
        <v>0</v>
      </c>
      <c r="P89" s="29"/>
      <c r="Q89" s="34"/>
      <c r="R89" s="33"/>
      <c r="S89" s="30"/>
      <c r="T89" s="33"/>
      <c r="U89" s="112"/>
      <c r="V89" s="41">
        <f>N89+P89+R89+T89</f>
        <v>0</v>
      </c>
      <c r="W89" s="30">
        <f t="shared" ref="W89" si="10">O89+Q89+S89+U89</f>
        <v>0</v>
      </c>
      <c r="X89" s="29">
        <f>H89+V89</f>
        <v>0</v>
      </c>
      <c r="Y89" s="30">
        <f>J89+W89</f>
        <v>0</v>
      </c>
      <c r="Z89" s="41">
        <f>(X89/E89)*100</f>
        <v>0</v>
      </c>
      <c r="AA89" s="41">
        <f>(Y89/G89)*100</f>
        <v>0</v>
      </c>
      <c r="AB89" s="37"/>
      <c r="AC89" s="212"/>
    </row>
    <row r="90" spans="1:29" s="38" customFormat="1" ht="33.75" customHeight="1" x14ac:dyDescent="0.4">
      <c r="A90" s="23"/>
      <c r="B90" s="69"/>
      <c r="C90" s="70"/>
      <c r="D90" s="71"/>
      <c r="E90" s="26"/>
      <c r="F90" s="26"/>
      <c r="G90" s="73"/>
      <c r="H90" s="33"/>
      <c r="I90" s="33"/>
      <c r="J90" s="88"/>
      <c r="K90" s="26"/>
      <c r="L90" s="26"/>
      <c r="M90" s="73"/>
      <c r="N90" s="33"/>
      <c r="O90" s="34"/>
      <c r="P90" s="32"/>
      <c r="Q90" s="34"/>
      <c r="R90" s="32"/>
      <c r="S90" s="32"/>
      <c r="T90" s="33"/>
      <c r="U90" s="32"/>
      <c r="V90" s="33"/>
      <c r="W90" s="34"/>
      <c r="X90" s="33"/>
      <c r="Y90" s="34"/>
      <c r="Z90" s="46">
        <f>(Z87+Z89)/3</f>
        <v>0</v>
      </c>
      <c r="AA90" s="46">
        <f>(AA87+AA89)/3</f>
        <v>0</v>
      </c>
      <c r="AB90" s="37"/>
      <c r="AC90" s="212"/>
    </row>
    <row r="91" spans="1:29" s="9" customFormat="1" ht="408.75" customHeight="1" x14ac:dyDescent="0.4">
      <c r="A91" s="177">
        <v>9</v>
      </c>
      <c r="B91" s="169" t="s">
        <v>150</v>
      </c>
      <c r="C91" s="169" t="s">
        <v>151</v>
      </c>
      <c r="D91" s="169" t="s">
        <v>152</v>
      </c>
      <c r="E91" s="170">
        <v>100</v>
      </c>
      <c r="F91" s="171" t="s">
        <v>20</v>
      </c>
      <c r="G91" s="172">
        <v>597075000</v>
      </c>
      <c r="H91" s="170">
        <v>100</v>
      </c>
      <c r="I91" s="170" t="s">
        <v>20</v>
      </c>
      <c r="J91" s="173">
        <v>235931720</v>
      </c>
      <c r="K91" s="170"/>
      <c r="L91" s="171"/>
      <c r="M91" s="172"/>
      <c r="N91" s="170"/>
      <c r="O91" s="179"/>
      <c r="P91" s="170"/>
      <c r="Q91" s="179"/>
      <c r="R91" s="170"/>
      <c r="S91" s="172"/>
      <c r="T91" s="170"/>
      <c r="U91" s="172"/>
      <c r="V91" s="179"/>
      <c r="W91" s="179"/>
      <c r="X91" s="179"/>
      <c r="Y91" s="179"/>
      <c r="Z91" s="179"/>
      <c r="AA91" s="179"/>
      <c r="AB91" s="180"/>
      <c r="AC91" s="210"/>
    </row>
    <row r="92" spans="1:29" s="9" customFormat="1" ht="372.75" customHeight="1" x14ac:dyDescent="0.4">
      <c r="A92" s="168"/>
      <c r="B92" s="169"/>
      <c r="C92" s="169"/>
      <c r="D92" s="169" t="s">
        <v>153</v>
      </c>
      <c r="E92" s="170">
        <v>13</v>
      </c>
      <c r="F92" s="171" t="s">
        <v>20</v>
      </c>
      <c r="G92" s="172">
        <v>1481548000</v>
      </c>
      <c r="H92" s="170"/>
      <c r="I92" s="170"/>
      <c r="J92" s="173"/>
      <c r="K92" s="170">
        <v>9</v>
      </c>
      <c r="L92" s="171" t="s">
        <v>20</v>
      </c>
      <c r="M92" s="172">
        <v>836522600</v>
      </c>
      <c r="N92" s="170">
        <v>0</v>
      </c>
      <c r="O92" s="172">
        <f>O94+O101</f>
        <v>0</v>
      </c>
      <c r="P92" s="170"/>
      <c r="Q92" s="172"/>
      <c r="R92" s="170"/>
      <c r="S92" s="172"/>
      <c r="T92" s="170"/>
      <c r="U92" s="172"/>
      <c r="V92" s="170">
        <f>N92+P92+R92+T92</f>
        <v>0</v>
      </c>
      <c r="W92" s="172">
        <f>O92+Q92+S92+U92</f>
        <v>0</v>
      </c>
      <c r="X92" s="170">
        <f>H92+V92</f>
        <v>0</v>
      </c>
      <c r="Y92" s="173">
        <f>J92+W92</f>
        <v>0</v>
      </c>
      <c r="Z92" s="182">
        <f>(X92/E92)*100</f>
        <v>0</v>
      </c>
      <c r="AA92" s="174">
        <f>(Y92/G92)*100</f>
        <v>0</v>
      </c>
      <c r="AB92" s="176"/>
      <c r="AC92" s="210"/>
    </row>
    <row r="93" spans="1:29" s="116" customFormat="1" ht="326.25" customHeight="1" x14ac:dyDescent="0.25">
      <c r="A93" s="113"/>
      <c r="B93" s="114"/>
      <c r="C93" s="48" t="s">
        <v>154</v>
      </c>
      <c r="D93" s="48" t="s">
        <v>155</v>
      </c>
      <c r="E93" s="52">
        <v>20</v>
      </c>
      <c r="F93" s="50" t="s">
        <v>20</v>
      </c>
      <c r="G93" s="51">
        <v>187985000</v>
      </c>
      <c r="H93" s="52">
        <v>20</v>
      </c>
      <c r="I93" s="52" t="s">
        <v>20</v>
      </c>
      <c r="J93" s="84">
        <v>152159220</v>
      </c>
      <c r="K93" s="53"/>
      <c r="L93" s="67"/>
      <c r="M93" s="51"/>
      <c r="N93" s="52"/>
      <c r="O93" s="52"/>
      <c r="P93" s="52"/>
      <c r="Q93" s="52"/>
      <c r="R93" s="52"/>
      <c r="S93" s="51"/>
      <c r="T93" s="52"/>
      <c r="U93" s="51"/>
      <c r="V93" s="52"/>
      <c r="W93" s="52"/>
      <c r="X93" s="52"/>
      <c r="Y93" s="52"/>
      <c r="Z93" s="52"/>
      <c r="AA93" s="52"/>
      <c r="AB93" s="115"/>
      <c r="AC93" s="218"/>
    </row>
    <row r="94" spans="1:29" s="116" customFormat="1" ht="180.75" customHeight="1" x14ac:dyDescent="0.25">
      <c r="A94" s="113"/>
      <c r="B94" s="114"/>
      <c r="C94" s="48"/>
      <c r="D94" s="48" t="s">
        <v>156</v>
      </c>
      <c r="E94" s="52">
        <v>15</v>
      </c>
      <c r="F94" s="50" t="s">
        <v>20</v>
      </c>
      <c r="G94" s="51">
        <v>971940000</v>
      </c>
      <c r="H94" s="52"/>
      <c r="I94" s="52"/>
      <c r="J94" s="84"/>
      <c r="K94" s="52">
        <v>20</v>
      </c>
      <c r="L94" s="67" t="s">
        <v>20</v>
      </c>
      <c r="M94" s="51">
        <v>447642600</v>
      </c>
      <c r="N94" s="52">
        <v>0</v>
      </c>
      <c r="O94" s="51">
        <f>O96+O99</f>
        <v>0</v>
      </c>
      <c r="P94" s="52"/>
      <c r="Q94" s="51"/>
      <c r="R94" s="52"/>
      <c r="S94" s="51"/>
      <c r="T94" s="52"/>
      <c r="U94" s="51"/>
      <c r="V94" s="52">
        <f>N94+P94+R94+T94</f>
        <v>0</v>
      </c>
      <c r="W94" s="51">
        <f>O94+Q94+S94+U94</f>
        <v>0</v>
      </c>
      <c r="X94" s="52">
        <f>H94+V94</f>
        <v>0</v>
      </c>
      <c r="Y94" s="51">
        <f>J94+W94</f>
        <v>0</v>
      </c>
      <c r="Z94" s="54">
        <f>(X94/E94)*100</f>
        <v>0</v>
      </c>
      <c r="AA94" s="49">
        <f>(Y94/G94)*100</f>
        <v>0</v>
      </c>
      <c r="AB94" s="55"/>
      <c r="AC94" s="218"/>
    </row>
    <row r="95" spans="1:29" s="38" customFormat="1" ht="173.25" customHeight="1" x14ac:dyDescent="0.4">
      <c r="A95" s="23"/>
      <c r="B95" s="69"/>
      <c r="C95" s="197" t="s">
        <v>157</v>
      </c>
      <c r="D95" s="25" t="s">
        <v>158</v>
      </c>
      <c r="E95" s="117">
        <v>65</v>
      </c>
      <c r="F95" s="57" t="s">
        <v>159</v>
      </c>
      <c r="G95" s="73">
        <v>39450000</v>
      </c>
      <c r="H95" s="29">
        <v>65</v>
      </c>
      <c r="I95" s="27" t="s">
        <v>160</v>
      </c>
      <c r="J95" s="74">
        <v>34745100</v>
      </c>
      <c r="K95" s="29"/>
      <c r="L95" s="72"/>
      <c r="M95" s="73"/>
      <c r="N95" s="29"/>
      <c r="O95" s="30"/>
      <c r="P95" s="29"/>
      <c r="Q95" s="34"/>
      <c r="R95" s="32"/>
      <c r="S95" s="32"/>
      <c r="T95" s="33"/>
      <c r="U95" s="34"/>
      <c r="V95" s="39"/>
      <c r="W95" s="39"/>
      <c r="X95" s="39"/>
      <c r="Y95" s="39"/>
      <c r="Z95" s="39"/>
      <c r="AA95" s="39"/>
      <c r="AB95" s="40"/>
      <c r="AC95" s="212"/>
    </row>
    <row r="96" spans="1:29" s="118" customFormat="1" ht="99" customHeight="1" x14ac:dyDescent="0.4">
      <c r="A96" s="23"/>
      <c r="B96" s="69"/>
      <c r="C96" s="25"/>
      <c r="D96" s="25" t="s">
        <v>161</v>
      </c>
      <c r="E96" s="117">
        <v>862</v>
      </c>
      <c r="F96" s="57" t="s">
        <v>93</v>
      </c>
      <c r="G96" s="73">
        <v>217800000</v>
      </c>
      <c r="H96" s="29"/>
      <c r="I96" s="27"/>
      <c r="J96" s="74"/>
      <c r="K96" s="29">
        <v>150</v>
      </c>
      <c r="L96" s="72" t="s">
        <v>93</v>
      </c>
      <c r="M96" s="73">
        <v>154665000</v>
      </c>
      <c r="N96" s="29">
        <v>0</v>
      </c>
      <c r="O96" s="30">
        <f>0+0+0</f>
        <v>0</v>
      </c>
      <c r="P96" s="29"/>
      <c r="Q96" s="34"/>
      <c r="R96" s="32"/>
      <c r="S96" s="32"/>
      <c r="T96" s="33"/>
      <c r="U96" s="30">
        <f>0+0+0</f>
        <v>0</v>
      </c>
      <c r="V96" s="36">
        <f>N96+P96+R96+T96</f>
        <v>0</v>
      </c>
      <c r="W96" s="34">
        <f>O96+Q96+S96+U96</f>
        <v>0</v>
      </c>
      <c r="X96" s="33">
        <f>H96+V96</f>
        <v>0</v>
      </c>
      <c r="Y96" s="34">
        <f>J96+W96</f>
        <v>0</v>
      </c>
      <c r="Z96" s="35">
        <f>(X96/E96)*100</f>
        <v>0</v>
      </c>
      <c r="AA96" s="36">
        <f>(Y96/G96)*100</f>
        <v>0</v>
      </c>
      <c r="AB96" s="37"/>
      <c r="AC96" s="219"/>
    </row>
    <row r="97" spans="1:29" s="38" customFormat="1" ht="203.25" customHeight="1" x14ac:dyDescent="0.4">
      <c r="A97" s="23"/>
      <c r="B97" s="69"/>
      <c r="C97" s="197" t="s">
        <v>162</v>
      </c>
      <c r="D97" s="25" t="s">
        <v>163</v>
      </c>
      <c r="E97" s="117">
        <v>65</v>
      </c>
      <c r="F97" s="57" t="s">
        <v>159</v>
      </c>
      <c r="G97" s="30">
        <v>148535000</v>
      </c>
      <c r="H97" s="29">
        <v>65</v>
      </c>
      <c r="I97" s="27" t="s">
        <v>160</v>
      </c>
      <c r="J97" s="74">
        <v>117424120</v>
      </c>
      <c r="K97" s="29">
        <v>65</v>
      </c>
      <c r="L97" s="119" t="s">
        <v>159</v>
      </c>
      <c r="M97" s="73">
        <v>138880600</v>
      </c>
      <c r="N97" s="29"/>
      <c r="O97" s="30"/>
      <c r="P97" s="29"/>
      <c r="Q97" s="30"/>
      <c r="R97" s="76"/>
      <c r="S97" s="30"/>
      <c r="T97" s="29"/>
      <c r="U97" s="30"/>
      <c r="V97" s="221"/>
      <c r="W97" s="39"/>
      <c r="X97" s="39"/>
      <c r="Y97" s="39"/>
      <c r="Z97" s="39"/>
      <c r="AA97" s="39"/>
      <c r="AB97" s="40"/>
      <c r="AC97" s="212"/>
    </row>
    <row r="98" spans="1:29" s="118" customFormat="1" ht="245.25" customHeight="1" x14ac:dyDescent="0.4">
      <c r="A98" s="23"/>
      <c r="B98" s="69"/>
      <c r="C98" s="25"/>
      <c r="D98" s="25" t="s">
        <v>164</v>
      </c>
      <c r="E98" s="117">
        <v>10</v>
      </c>
      <c r="F98" s="57" t="s">
        <v>165</v>
      </c>
      <c r="G98" s="30">
        <v>8500000</v>
      </c>
      <c r="H98" s="29"/>
      <c r="I98" s="27"/>
      <c r="J98" s="74"/>
      <c r="K98" s="117">
        <v>10</v>
      </c>
      <c r="L98" s="57" t="s">
        <v>165</v>
      </c>
      <c r="M98" s="73">
        <v>142310400</v>
      </c>
      <c r="N98" s="29"/>
      <c r="O98" s="30"/>
      <c r="P98" s="29"/>
      <c r="Q98" s="30"/>
      <c r="R98" s="29"/>
      <c r="S98" s="30"/>
      <c r="T98" s="29"/>
      <c r="U98" s="30"/>
      <c r="V98" s="36"/>
      <c r="W98" s="34"/>
      <c r="X98" s="36"/>
      <c r="Y98" s="34"/>
      <c r="Z98" s="35"/>
      <c r="AA98" s="36"/>
      <c r="AB98" s="37"/>
      <c r="AC98" s="219"/>
    </row>
    <row r="99" spans="1:29" s="118" customFormat="1" ht="245.25" customHeight="1" x14ac:dyDescent="0.4">
      <c r="A99" s="23"/>
      <c r="B99" s="69"/>
      <c r="C99" s="25"/>
      <c r="D99" s="199" t="s">
        <v>217</v>
      </c>
      <c r="E99" s="200">
        <v>12</v>
      </c>
      <c r="F99" s="201" t="s">
        <v>181</v>
      </c>
      <c r="G99" s="202">
        <v>754140000</v>
      </c>
      <c r="H99" s="203"/>
      <c r="I99" s="204"/>
      <c r="J99" s="205"/>
      <c r="K99" s="200">
        <v>3</v>
      </c>
      <c r="L99" s="201" t="s">
        <v>181</v>
      </c>
      <c r="M99" s="206">
        <v>292977600</v>
      </c>
      <c r="N99" s="29">
        <v>0</v>
      </c>
      <c r="O99" s="30">
        <f>0+0+0</f>
        <v>0</v>
      </c>
      <c r="P99" s="29"/>
      <c r="Q99" s="30"/>
      <c r="R99" s="29"/>
      <c r="S99" s="30"/>
      <c r="T99" s="29"/>
      <c r="U99" s="30"/>
      <c r="V99" s="36">
        <f>N99+P99+R99+T99</f>
        <v>0</v>
      </c>
      <c r="W99" s="34">
        <f>O99+Q99+S99+U99</f>
        <v>0</v>
      </c>
      <c r="X99" s="36">
        <f>H99+V99</f>
        <v>0</v>
      </c>
      <c r="Y99" s="34">
        <f>J99+W99</f>
        <v>0</v>
      </c>
      <c r="Z99" s="35">
        <f>(X99/E99)*100</f>
        <v>0</v>
      </c>
      <c r="AA99" s="36">
        <f>(Y99/G99)*100</f>
        <v>0</v>
      </c>
      <c r="AB99" s="37"/>
      <c r="AC99" s="219"/>
    </row>
    <row r="100" spans="1:29" s="56" customFormat="1" ht="243" customHeight="1" x14ac:dyDescent="0.4">
      <c r="A100" s="47"/>
      <c r="B100" s="66"/>
      <c r="C100" s="48" t="s">
        <v>166</v>
      </c>
      <c r="D100" s="48" t="s">
        <v>167</v>
      </c>
      <c r="E100" s="52">
        <v>85</v>
      </c>
      <c r="F100" s="50" t="s">
        <v>20</v>
      </c>
      <c r="G100" s="51">
        <v>109490000</v>
      </c>
      <c r="H100" s="52">
        <v>85</v>
      </c>
      <c r="I100" s="52" t="s">
        <v>20</v>
      </c>
      <c r="J100" s="84">
        <v>85272500</v>
      </c>
      <c r="K100" s="52"/>
      <c r="L100" s="50"/>
      <c r="M100" s="51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3"/>
      <c r="AC100" s="213"/>
    </row>
    <row r="101" spans="1:29" s="56" customFormat="1" ht="151.5" customHeight="1" x14ac:dyDescent="0.4">
      <c r="A101" s="47"/>
      <c r="B101" s="66"/>
      <c r="C101" s="48"/>
      <c r="D101" s="114" t="s">
        <v>168</v>
      </c>
      <c r="E101" s="84">
        <v>12</v>
      </c>
      <c r="F101" s="84" t="s">
        <v>20</v>
      </c>
      <c r="G101" s="51">
        <v>509608000</v>
      </c>
      <c r="H101" s="51"/>
      <c r="I101" s="51"/>
      <c r="J101" s="51"/>
      <c r="K101" s="84">
        <v>14</v>
      </c>
      <c r="L101" s="84" t="s">
        <v>20</v>
      </c>
      <c r="M101" s="51">
        <v>388880000</v>
      </c>
      <c r="N101" s="52">
        <v>0</v>
      </c>
      <c r="O101" s="51">
        <f>SUM(O102:O106)</f>
        <v>0</v>
      </c>
      <c r="P101" s="52"/>
      <c r="Q101" s="51"/>
      <c r="R101" s="52"/>
      <c r="S101" s="51"/>
      <c r="T101" s="52"/>
      <c r="U101" s="51"/>
      <c r="V101" s="52">
        <f>N101+P101+R101+T101</f>
        <v>0</v>
      </c>
      <c r="W101" s="51">
        <f>O101+Q101+S101+U101</f>
        <v>0</v>
      </c>
      <c r="X101" s="84">
        <f>H101+V101</f>
        <v>0</v>
      </c>
      <c r="Y101" s="51">
        <f>J101+W101</f>
        <v>0</v>
      </c>
      <c r="Z101" s="54">
        <f>(X101/E101)*100</f>
        <v>0</v>
      </c>
      <c r="AA101" s="49">
        <f>(Y101/G101)*100</f>
        <v>0</v>
      </c>
      <c r="AB101" s="55"/>
      <c r="AC101" s="213"/>
    </row>
    <row r="102" spans="1:29" s="94" customFormat="1" ht="234.75" customHeight="1" x14ac:dyDescent="0.4">
      <c r="A102" s="23"/>
      <c r="B102" s="69"/>
      <c r="C102" s="198" t="s">
        <v>169</v>
      </c>
      <c r="D102" s="120" t="s">
        <v>170</v>
      </c>
      <c r="E102" s="121">
        <v>50</v>
      </c>
      <c r="F102" s="121" t="s">
        <v>171</v>
      </c>
      <c r="G102" s="73">
        <v>29125000</v>
      </c>
      <c r="H102" s="33">
        <v>50</v>
      </c>
      <c r="I102" s="121" t="s">
        <v>171</v>
      </c>
      <c r="J102" s="88">
        <v>29124600</v>
      </c>
      <c r="K102" s="121"/>
      <c r="L102" s="121"/>
      <c r="M102" s="73"/>
      <c r="N102" s="29"/>
      <c r="O102" s="74"/>
      <c r="P102" s="29"/>
      <c r="Q102" s="34"/>
      <c r="R102" s="29"/>
      <c r="S102" s="34"/>
      <c r="T102" s="33"/>
      <c r="U102" s="34"/>
      <c r="V102" s="39"/>
      <c r="W102" s="39"/>
      <c r="X102" s="39"/>
      <c r="Y102" s="39"/>
      <c r="Z102" s="39"/>
      <c r="AA102" s="39"/>
      <c r="AB102" s="40"/>
      <c r="AC102" s="214"/>
    </row>
    <row r="103" spans="1:29" s="118" customFormat="1" ht="74.25" customHeight="1" x14ac:dyDescent="0.4">
      <c r="A103" s="23"/>
      <c r="B103" s="69"/>
      <c r="C103" s="70"/>
      <c r="D103" s="120" t="s">
        <v>172</v>
      </c>
      <c r="E103" s="121">
        <v>630</v>
      </c>
      <c r="F103" s="121" t="s">
        <v>173</v>
      </c>
      <c r="G103" s="73">
        <v>188148000</v>
      </c>
      <c r="H103" s="33"/>
      <c r="I103" s="121"/>
      <c r="J103" s="88"/>
      <c r="K103" s="121">
        <v>130</v>
      </c>
      <c r="L103" s="121" t="s">
        <v>173</v>
      </c>
      <c r="M103" s="73">
        <v>229582000</v>
      </c>
      <c r="N103" s="29">
        <v>0</v>
      </c>
      <c r="O103" s="74">
        <f>0+0+0</f>
        <v>0</v>
      </c>
      <c r="P103" s="29"/>
      <c r="Q103" s="30"/>
      <c r="R103" s="29"/>
      <c r="S103" s="30"/>
      <c r="T103" s="33"/>
      <c r="U103" s="30"/>
      <c r="V103" s="36">
        <f>N103+P103+R103+T103</f>
        <v>0</v>
      </c>
      <c r="W103" s="34">
        <f>O103+Q103+S103+U103</f>
        <v>0</v>
      </c>
      <c r="X103" s="33">
        <f>H102+V103</f>
        <v>50</v>
      </c>
      <c r="Y103" s="34">
        <f>J103+W103</f>
        <v>0</v>
      </c>
      <c r="Z103" s="36">
        <f>(X103/E103)*100</f>
        <v>7.9365079365079358</v>
      </c>
      <c r="AA103" s="36">
        <f>(Y103/G103)*100</f>
        <v>0</v>
      </c>
      <c r="AB103" s="37"/>
      <c r="AC103" s="219"/>
    </row>
    <row r="104" spans="1:29" s="94" customFormat="1" ht="233.25" customHeight="1" x14ac:dyDescent="0.4">
      <c r="A104" s="23"/>
      <c r="B104" s="69"/>
      <c r="C104" s="198" t="s">
        <v>174</v>
      </c>
      <c r="D104" s="120" t="s">
        <v>175</v>
      </c>
      <c r="E104" s="117">
        <v>10</v>
      </c>
      <c r="F104" s="57" t="s">
        <v>176</v>
      </c>
      <c r="G104" s="73">
        <v>2125000</v>
      </c>
      <c r="H104" s="27">
        <v>10</v>
      </c>
      <c r="I104" s="27" t="s">
        <v>177</v>
      </c>
      <c r="J104" s="88">
        <v>1500000</v>
      </c>
      <c r="K104" s="117"/>
      <c r="L104" s="57"/>
      <c r="M104" s="73"/>
      <c r="N104" s="33"/>
      <c r="O104" s="34"/>
      <c r="P104" s="29"/>
      <c r="Q104" s="34"/>
      <c r="R104" s="33"/>
      <c r="S104" s="34"/>
      <c r="T104" s="29"/>
      <c r="U104" s="30"/>
      <c r="V104" s="221"/>
      <c r="W104" s="39"/>
      <c r="X104" s="39"/>
      <c r="Y104" s="39"/>
      <c r="Z104" s="39"/>
      <c r="AA104" s="39"/>
      <c r="AB104" s="40"/>
      <c r="AC104" s="214"/>
    </row>
    <row r="105" spans="1:29" s="118" customFormat="1" ht="134.25" customHeight="1" x14ac:dyDescent="0.4">
      <c r="A105" s="23"/>
      <c r="B105" s="69"/>
      <c r="C105" s="70"/>
      <c r="D105" s="120" t="s">
        <v>178</v>
      </c>
      <c r="E105" s="117">
        <v>10</v>
      </c>
      <c r="F105" s="57" t="s">
        <v>176</v>
      </c>
      <c r="G105" s="73">
        <v>8500000</v>
      </c>
      <c r="H105" s="27"/>
      <c r="I105" s="27"/>
      <c r="J105" s="88"/>
      <c r="K105" s="117">
        <v>10</v>
      </c>
      <c r="L105" s="57" t="s">
        <v>176</v>
      </c>
      <c r="M105" s="73">
        <v>47648000</v>
      </c>
      <c r="N105" s="29">
        <v>0</v>
      </c>
      <c r="O105" s="34">
        <f>0+0+0</f>
        <v>0</v>
      </c>
      <c r="P105" s="29"/>
      <c r="Q105" s="34"/>
      <c r="R105" s="33"/>
      <c r="S105" s="34"/>
      <c r="T105" s="29"/>
      <c r="U105" s="30"/>
      <c r="V105" s="36">
        <f>N105+P105+R105+T105</f>
        <v>0</v>
      </c>
      <c r="W105" s="34">
        <f>O105+Q105+S105+U105</f>
        <v>0</v>
      </c>
      <c r="X105" s="33">
        <f>H104+V105</f>
        <v>10</v>
      </c>
      <c r="Y105" s="34">
        <f>J105+W105</f>
        <v>0</v>
      </c>
      <c r="Z105" s="92">
        <f>(X105/E105)*100</f>
        <v>100</v>
      </c>
      <c r="AA105" s="36">
        <f>(Y105/G105)*100</f>
        <v>0</v>
      </c>
      <c r="AB105" s="37"/>
      <c r="AC105" s="219"/>
    </row>
    <row r="106" spans="1:29" s="38" customFormat="1" ht="165.75" customHeight="1" x14ac:dyDescent="0.4">
      <c r="A106" s="23"/>
      <c r="B106" s="69"/>
      <c r="C106" s="198" t="s">
        <v>179</v>
      </c>
      <c r="D106" s="109" t="s">
        <v>180</v>
      </c>
      <c r="E106" s="117">
        <v>1</v>
      </c>
      <c r="F106" s="57" t="s">
        <v>181</v>
      </c>
      <c r="G106" s="73"/>
      <c r="H106" s="117">
        <v>1</v>
      </c>
      <c r="I106" s="57" t="s">
        <v>181</v>
      </c>
      <c r="J106" s="74">
        <v>63697900</v>
      </c>
      <c r="K106" s="117"/>
      <c r="L106" s="57"/>
      <c r="M106" s="73"/>
      <c r="N106" s="29"/>
      <c r="O106" s="88"/>
      <c r="P106" s="29"/>
      <c r="Q106" s="34"/>
      <c r="R106" s="29"/>
      <c r="S106" s="34"/>
      <c r="T106" s="29"/>
      <c r="U106" s="30"/>
      <c r="V106" s="221"/>
      <c r="W106" s="39"/>
      <c r="X106" s="39"/>
      <c r="Y106" s="39"/>
      <c r="Z106" s="39"/>
      <c r="AA106" s="39"/>
      <c r="AB106" s="40"/>
      <c r="AC106" s="212"/>
    </row>
    <row r="107" spans="1:29" s="118" customFormat="1" ht="82.5" customHeight="1" x14ac:dyDescent="0.4">
      <c r="A107" s="23"/>
      <c r="B107" s="69"/>
      <c r="C107" s="70"/>
      <c r="D107" s="109" t="s">
        <v>182</v>
      </c>
      <c r="E107" s="117">
        <v>1</v>
      </c>
      <c r="F107" s="57" t="s">
        <v>181</v>
      </c>
      <c r="G107" s="73">
        <v>312960000</v>
      </c>
      <c r="H107" s="117"/>
      <c r="I107" s="57"/>
      <c r="J107" s="74"/>
      <c r="K107" s="117">
        <v>1</v>
      </c>
      <c r="L107" s="57" t="s">
        <v>106</v>
      </c>
      <c r="M107" s="73">
        <v>111650000</v>
      </c>
      <c r="N107" s="29">
        <v>0</v>
      </c>
      <c r="O107" s="88">
        <f>0+0+0</f>
        <v>0</v>
      </c>
      <c r="P107" s="29"/>
      <c r="Q107" s="34"/>
      <c r="R107" s="29"/>
      <c r="S107" s="34"/>
      <c r="T107" s="29"/>
      <c r="U107" s="30"/>
      <c r="V107" s="36">
        <f>N107+P107+R107+T107</f>
        <v>0</v>
      </c>
      <c r="W107" s="34">
        <f>O107+Q107+S107+U107</f>
        <v>0</v>
      </c>
      <c r="X107" s="33">
        <f>H107+V107</f>
        <v>0</v>
      </c>
      <c r="Y107" s="34">
        <f>J107+W107</f>
        <v>0</v>
      </c>
      <c r="Z107" s="92">
        <f>(X107/E107)*100</f>
        <v>0</v>
      </c>
      <c r="AA107" s="36">
        <f>(Y107/G107)*100</f>
        <v>0</v>
      </c>
      <c r="AB107" s="37"/>
      <c r="AC107" s="219"/>
    </row>
    <row r="108" spans="1:29" s="38" customFormat="1" ht="37.5" customHeight="1" x14ac:dyDescent="0.4">
      <c r="A108" s="23"/>
      <c r="B108" s="69"/>
      <c r="C108" s="70"/>
      <c r="D108" s="109"/>
      <c r="E108" s="117"/>
      <c r="F108" s="57"/>
      <c r="G108" s="73"/>
      <c r="H108" s="33"/>
      <c r="I108" s="33"/>
      <c r="J108" s="88"/>
      <c r="K108" s="117"/>
      <c r="L108" s="57"/>
      <c r="M108" s="73"/>
      <c r="N108" s="33"/>
      <c r="O108" s="34"/>
      <c r="P108" s="32"/>
      <c r="Q108" s="32"/>
      <c r="R108" s="32"/>
      <c r="S108" s="32"/>
      <c r="T108" s="33"/>
      <c r="U108" s="32"/>
      <c r="V108" s="33"/>
      <c r="W108" s="34"/>
      <c r="X108" s="33"/>
      <c r="Y108" s="34"/>
      <c r="Z108" s="193">
        <f>(Z96+Z98+Z103+Z105+Z107)/5</f>
        <v>21.587301587301589</v>
      </c>
      <c r="AA108" s="193">
        <f>(AA96+AA98+AA103+AA105+AA107)/5</f>
        <v>0</v>
      </c>
      <c r="AB108" s="37"/>
      <c r="AC108" s="212"/>
    </row>
    <row r="109" spans="1:29" s="9" customFormat="1" ht="259.5" customHeight="1" x14ac:dyDescent="0.4">
      <c r="A109" s="177">
        <v>10</v>
      </c>
      <c r="B109" s="169" t="s">
        <v>183</v>
      </c>
      <c r="C109" s="169" t="s">
        <v>184</v>
      </c>
      <c r="D109" s="169" t="s">
        <v>185</v>
      </c>
      <c r="E109" s="170">
        <v>100</v>
      </c>
      <c r="F109" s="170" t="s">
        <v>20</v>
      </c>
      <c r="G109" s="172">
        <v>14868946862</v>
      </c>
      <c r="H109" s="170">
        <v>100</v>
      </c>
      <c r="I109" s="170" t="s">
        <v>20</v>
      </c>
      <c r="J109" s="173">
        <v>1682024996</v>
      </c>
      <c r="K109" s="170"/>
      <c r="L109" s="170"/>
      <c r="M109" s="172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80"/>
      <c r="AC109" s="210"/>
    </row>
    <row r="110" spans="1:29" s="9" customFormat="1" ht="168" customHeight="1" x14ac:dyDescent="0.4">
      <c r="A110" s="168"/>
      <c r="B110" s="169"/>
      <c r="C110" s="169"/>
      <c r="D110" s="189" t="s">
        <v>186</v>
      </c>
      <c r="E110" s="189">
        <v>100</v>
      </c>
      <c r="F110" s="170" t="s">
        <v>187</v>
      </c>
      <c r="G110" s="172">
        <v>69699649207</v>
      </c>
      <c r="H110" s="170"/>
      <c r="I110" s="170"/>
      <c r="J110" s="173"/>
      <c r="K110" s="208">
        <v>100</v>
      </c>
      <c r="L110" s="170" t="s">
        <v>187</v>
      </c>
      <c r="M110" s="172">
        <v>14255035164</v>
      </c>
      <c r="N110" s="170"/>
      <c r="O110" s="172">
        <f>O112</f>
        <v>1560000</v>
      </c>
      <c r="P110" s="170"/>
      <c r="Q110" s="172"/>
      <c r="R110" s="170"/>
      <c r="S110" s="172"/>
      <c r="T110" s="170"/>
      <c r="U110" s="175"/>
      <c r="V110" s="170">
        <f>N110+P110+R110+T110</f>
        <v>0</v>
      </c>
      <c r="W110" s="172">
        <f>O110+Q110+S110+U110</f>
        <v>1560000</v>
      </c>
      <c r="X110" s="170">
        <f>H110+V110</f>
        <v>0</v>
      </c>
      <c r="Y110" s="172">
        <f>J110+W110</f>
        <v>1560000</v>
      </c>
      <c r="Z110" s="182">
        <f>(X110/E110)*100</f>
        <v>0</v>
      </c>
      <c r="AA110" s="174">
        <f>(Y110/G110)*100</f>
        <v>2.2381748226120595E-3</v>
      </c>
      <c r="AB110" s="176"/>
      <c r="AC110" s="210"/>
    </row>
    <row r="111" spans="1:29" s="9" customFormat="1" ht="145.5" customHeight="1" x14ac:dyDescent="0.4">
      <c r="A111" s="168"/>
      <c r="B111" s="169"/>
      <c r="C111" s="169"/>
      <c r="D111" s="190" t="s">
        <v>188</v>
      </c>
      <c r="E111" s="191">
        <v>100</v>
      </c>
      <c r="F111" s="170" t="s">
        <v>187</v>
      </c>
      <c r="G111" s="172"/>
      <c r="H111" s="170"/>
      <c r="I111" s="170"/>
      <c r="J111" s="173"/>
      <c r="K111" s="196">
        <v>100</v>
      </c>
      <c r="L111" s="170" t="s">
        <v>187</v>
      </c>
      <c r="M111" s="172"/>
      <c r="N111" s="170"/>
      <c r="O111" s="172"/>
      <c r="P111" s="170"/>
      <c r="Q111" s="172"/>
      <c r="R111" s="170"/>
      <c r="S111" s="172"/>
      <c r="T111" s="170"/>
      <c r="U111" s="175"/>
      <c r="V111" s="170"/>
      <c r="W111" s="172"/>
      <c r="X111" s="170"/>
      <c r="Y111" s="172"/>
      <c r="Z111" s="182"/>
      <c r="AA111" s="174"/>
      <c r="AB111" s="176"/>
      <c r="AC111" s="210"/>
    </row>
    <row r="112" spans="1:29" s="56" customFormat="1" ht="172.5" customHeight="1" x14ac:dyDescent="0.4">
      <c r="A112" s="47"/>
      <c r="B112" s="66"/>
      <c r="C112" s="48" t="s">
        <v>218</v>
      </c>
      <c r="D112" s="48" t="s">
        <v>219</v>
      </c>
      <c r="E112" s="52">
        <v>100</v>
      </c>
      <c r="F112" s="52" t="s">
        <v>20</v>
      </c>
      <c r="G112" s="51">
        <v>99649670</v>
      </c>
      <c r="H112" s="52"/>
      <c r="I112" s="52"/>
      <c r="J112" s="84"/>
      <c r="K112" s="52">
        <v>100</v>
      </c>
      <c r="L112" s="52" t="s">
        <v>20</v>
      </c>
      <c r="M112" s="51">
        <v>28644000</v>
      </c>
      <c r="N112" s="52"/>
      <c r="O112" s="51">
        <f>O113+O114+O115+O116+O117</f>
        <v>1560000</v>
      </c>
      <c r="P112" s="52"/>
      <c r="Q112" s="51"/>
      <c r="R112" s="52"/>
      <c r="S112" s="51"/>
      <c r="T112" s="52"/>
      <c r="U112" s="51"/>
      <c r="V112" s="52">
        <f>N112+P112+R112+T112</f>
        <v>0</v>
      </c>
      <c r="W112" s="51">
        <f>O112+Q112+S112+U112</f>
        <v>1560000</v>
      </c>
      <c r="X112" s="84">
        <f>H112+V112</f>
        <v>0</v>
      </c>
      <c r="Y112" s="51">
        <f>J112+W112</f>
        <v>1560000</v>
      </c>
      <c r="Z112" s="54">
        <f>(X112/E112)*100</f>
        <v>0</v>
      </c>
      <c r="AA112" s="84">
        <f>(Y112/G112)*100</f>
        <v>1.5654843613631637</v>
      </c>
      <c r="AB112" s="55"/>
      <c r="AC112" s="213"/>
    </row>
    <row r="113" spans="1:29" s="38" customFormat="1" ht="128.25" customHeight="1" x14ac:dyDescent="0.4">
      <c r="A113" s="23"/>
      <c r="B113" s="69"/>
      <c r="C113" s="197" t="s">
        <v>220</v>
      </c>
      <c r="D113" s="25" t="s">
        <v>221</v>
      </c>
      <c r="E113" s="29">
        <v>8</v>
      </c>
      <c r="F113" s="29" t="s">
        <v>27</v>
      </c>
      <c r="G113" s="30">
        <v>24718790</v>
      </c>
      <c r="H113" s="29">
        <v>2</v>
      </c>
      <c r="I113" s="29" t="s">
        <v>193</v>
      </c>
      <c r="J113" s="74">
        <v>4196852448</v>
      </c>
      <c r="K113" s="29">
        <v>8</v>
      </c>
      <c r="L113" s="29" t="s">
        <v>27</v>
      </c>
      <c r="M113" s="30">
        <v>10073000</v>
      </c>
      <c r="N113" s="29"/>
      <c r="O113" s="30">
        <f>0+0+1560000</f>
        <v>1560000</v>
      </c>
      <c r="P113" s="33"/>
      <c r="Q113" s="34"/>
      <c r="R113" s="32"/>
      <c r="S113" s="34"/>
      <c r="T113" s="33"/>
      <c r="U113" s="30"/>
      <c r="V113" s="36">
        <f>N113+P113+R113+T113</f>
        <v>0</v>
      </c>
      <c r="W113" s="34">
        <f>O113+Q113+S113+U113</f>
        <v>1560000</v>
      </c>
      <c r="X113" s="36">
        <f>H113+V113</f>
        <v>2</v>
      </c>
      <c r="Y113" s="34">
        <f>J113+W113</f>
        <v>4198412448</v>
      </c>
      <c r="Z113" s="35">
        <f>(X113/E113)*100</f>
        <v>25</v>
      </c>
      <c r="AA113" s="36">
        <f>(Y113/G113)*100</f>
        <v>16984.700497071255</v>
      </c>
      <c r="AB113" s="42"/>
      <c r="AC113" s="212"/>
    </row>
    <row r="114" spans="1:29" s="38" customFormat="1" ht="128.25" customHeight="1" x14ac:dyDescent="0.4">
      <c r="A114" s="23"/>
      <c r="B114" s="69"/>
      <c r="C114" s="197" t="s">
        <v>222</v>
      </c>
      <c r="D114" s="25" t="s">
        <v>223</v>
      </c>
      <c r="E114" s="29">
        <v>4</v>
      </c>
      <c r="F114" s="29" t="s">
        <v>27</v>
      </c>
      <c r="G114" s="30">
        <v>8800000</v>
      </c>
      <c r="H114" s="29"/>
      <c r="I114" s="29"/>
      <c r="J114" s="74"/>
      <c r="K114" s="29">
        <v>1</v>
      </c>
      <c r="L114" s="29" t="s">
        <v>27</v>
      </c>
      <c r="M114" s="30">
        <v>2200000</v>
      </c>
      <c r="N114" s="29">
        <v>0</v>
      </c>
      <c r="O114" s="30">
        <f t="shared" ref="O114:O116" si="11">0+0+0</f>
        <v>0</v>
      </c>
      <c r="P114" s="33"/>
      <c r="Q114" s="34"/>
      <c r="R114" s="32"/>
      <c r="S114" s="34"/>
      <c r="T114" s="33"/>
      <c r="U114" s="30"/>
      <c r="V114" s="36">
        <f t="shared" ref="V114:V143" si="12">N114+P114+R114+T114</f>
        <v>0</v>
      </c>
      <c r="W114" s="34">
        <f>O114+Q114+S114+U114</f>
        <v>0</v>
      </c>
      <c r="X114" s="36">
        <f t="shared" ref="X114:X117" si="13">H114+V114</f>
        <v>0</v>
      </c>
      <c r="Y114" s="34">
        <f t="shared" ref="Y114:Y116" si="14">J114+W114</f>
        <v>0</v>
      </c>
      <c r="Z114" s="35">
        <f t="shared" ref="Z114:Z116" si="15">(X114/E114)*100</f>
        <v>0</v>
      </c>
      <c r="AA114" s="36">
        <f t="shared" ref="AA114:AA117" si="16">(Y114/G114)*100</f>
        <v>0</v>
      </c>
      <c r="AB114" s="42"/>
      <c r="AC114" s="212"/>
    </row>
    <row r="115" spans="1:29" s="38" customFormat="1" ht="145.5" customHeight="1" x14ac:dyDescent="0.4">
      <c r="A115" s="23"/>
      <c r="B115" s="69"/>
      <c r="C115" s="197" t="s">
        <v>224</v>
      </c>
      <c r="D115" s="25" t="s">
        <v>225</v>
      </c>
      <c r="E115" s="29">
        <v>5</v>
      </c>
      <c r="F115" s="29" t="s">
        <v>27</v>
      </c>
      <c r="G115" s="30">
        <v>8800000</v>
      </c>
      <c r="H115" s="29"/>
      <c r="I115" s="29"/>
      <c r="J115" s="74"/>
      <c r="K115" s="29">
        <v>1</v>
      </c>
      <c r="L115" s="29" t="s">
        <v>27</v>
      </c>
      <c r="M115" s="30">
        <v>2200000</v>
      </c>
      <c r="N115" s="29">
        <v>0</v>
      </c>
      <c r="O115" s="30">
        <f t="shared" si="11"/>
        <v>0</v>
      </c>
      <c r="P115" s="33"/>
      <c r="Q115" s="34"/>
      <c r="R115" s="32"/>
      <c r="S115" s="34"/>
      <c r="T115" s="33"/>
      <c r="U115" s="30"/>
      <c r="V115" s="36">
        <f t="shared" si="12"/>
        <v>0</v>
      </c>
      <c r="W115" s="34">
        <f t="shared" ref="W115:W117" si="17">O115+Q115+S115+U115</f>
        <v>0</v>
      </c>
      <c r="X115" s="36">
        <f t="shared" si="13"/>
        <v>0</v>
      </c>
      <c r="Y115" s="34">
        <f t="shared" si="14"/>
        <v>0</v>
      </c>
      <c r="Z115" s="35">
        <f t="shared" si="15"/>
        <v>0</v>
      </c>
      <c r="AA115" s="36">
        <f t="shared" si="16"/>
        <v>0</v>
      </c>
      <c r="AB115" s="42"/>
      <c r="AC115" s="212"/>
    </row>
    <row r="116" spans="1:29" s="38" customFormat="1" ht="219" customHeight="1" x14ac:dyDescent="0.4">
      <c r="A116" s="23"/>
      <c r="B116" s="69"/>
      <c r="C116" s="197" t="s">
        <v>226</v>
      </c>
      <c r="D116" s="25" t="s">
        <v>227</v>
      </c>
      <c r="E116" s="29">
        <v>2</v>
      </c>
      <c r="F116" s="29" t="s">
        <v>181</v>
      </c>
      <c r="G116" s="30">
        <v>8800000</v>
      </c>
      <c r="H116" s="29"/>
      <c r="I116" s="29"/>
      <c r="J116" s="74"/>
      <c r="K116" s="29">
        <v>2</v>
      </c>
      <c r="L116" s="29" t="s">
        <v>181</v>
      </c>
      <c r="M116" s="30">
        <v>2200000</v>
      </c>
      <c r="N116" s="29">
        <v>0</v>
      </c>
      <c r="O116" s="30">
        <f t="shared" si="11"/>
        <v>0</v>
      </c>
      <c r="P116" s="33"/>
      <c r="Q116" s="34"/>
      <c r="R116" s="32"/>
      <c r="S116" s="34"/>
      <c r="T116" s="33"/>
      <c r="U116" s="30"/>
      <c r="V116" s="36">
        <f t="shared" si="12"/>
        <v>0</v>
      </c>
      <c r="W116" s="34">
        <f t="shared" si="17"/>
        <v>0</v>
      </c>
      <c r="X116" s="36">
        <f t="shared" si="13"/>
        <v>0</v>
      </c>
      <c r="Y116" s="34">
        <f t="shared" si="14"/>
        <v>0</v>
      </c>
      <c r="Z116" s="35">
        <f t="shared" si="15"/>
        <v>0</v>
      </c>
      <c r="AA116" s="36">
        <f t="shared" si="16"/>
        <v>0</v>
      </c>
      <c r="AB116" s="42"/>
      <c r="AC116" s="212"/>
    </row>
    <row r="117" spans="1:29" s="38" customFormat="1" ht="91.5" customHeight="1" x14ac:dyDescent="0.4">
      <c r="A117" s="23"/>
      <c r="B117" s="69"/>
      <c r="C117" s="197" t="s">
        <v>228</v>
      </c>
      <c r="D117" s="25" t="s">
        <v>229</v>
      </c>
      <c r="E117" s="29">
        <v>3</v>
      </c>
      <c r="F117" s="29" t="s">
        <v>181</v>
      </c>
      <c r="G117" s="30">
        <v>48530880</v>
      </c>
      <c r="H117" s="29"/>
      <c r="I117" s="29"/>
      <c r="J117" s="74"/>
      <c r="K117" s="29">
        <v>3</v>
      </c>
      <c r="L117" s="29" t="s">
        <v>181</v>
      </c>
      <c r="M117" s="30">
        <v>11971000</v>
      </c>
      <c r="N117" s="29">
        <v>0</v>
      </c>
      <c r="O117" s="30">
        <f>0+0+0</f>
        <v>0</v>
      </c>
      <c r="P117" s="33"/>
      <c r="Q117" s="34"/>
      <c r="R117" s="32"/>
      <c r="S117" s="34"/>
      <c r="T117" s="33"/>
      <c r="U117" s="30"/>
      <c r="V117" s="36">
        <f t="shared" si="12"/>
        <v>0</v>
      </c>
      <c r="W117" s="34">
        <f t="shared" si="17"/>
        <v>0</v>
      </c>
      <c r="X117" s="36">
        <f t="shared" si="13"/>
        <v>0</v>
      </c>
      <c r="Y117" s="34">
        <f>J117+W117</f>
        <v>0</v>
      </c>
      <c r="Z117" s="35">
        <f>(X117/E117)*100</f>
        <v>0</v>
      </c>
      <c r="AA117" s="36">
        <f t="shared" si="16"/>
        <v>0</v>
      </c>
      <c r="AB117" s="42"/>
      <c r="AC117" s="212"/>
    </row>
    <row r="118" spans="1:29" s="56" customFormat="1" ht="172.5" customHeight="1" x14ac:dyDescent="0.4">
      <c r="A118" s="47"/>
      <c r="B118" s="66"/>
      <c r="C118" s="48" t="s">
        <v>230</v>
      </c>
      <c r="D118" s="48" t="s">
        <v>231</v>
      </c>
      <c r="E118" s="52">
        <v>100</v>
      </c>
      <c r="F118" s="52" t="s">
        <v>20</v>
      </c>
      <c r="G118" s="51"/>
      <c r="H118" s="52"/>
      <c r="I118" s="52"/>
      <c r="J118" s="84"/>
      <c r="K118" s="52">
        <v>100</v>
      </c>
      <c r="L118" s="52" t="s">
        <v>20</v>
      </c>
      <c r="M118" s="51">
        <v>21565000</v>
      </c>
      <c r="N118" s="52"/>
      <c r="O118" s="51">
        <f>O119+O120+O121+O122</f>
        <v>345500</v>
      </c>
      <c r="P118" s="52"/>
      <c r="Q118" s="51"/>
      <c r="R118" s="52"/>
      <c r="S118" s="51"/>
      <c r="T118" s="52"/>
      <c r="U118" s="51"/>
      <c r="V118" s="52">
        <f>N118+P118+R118+T118</f>
        <v>0</v>
      </c>
      <c r="W118" s="51">
        <f>O118+Q118+S118+U118</f>
        <v>345500</v>
      </c>
      <c r="X118" s="52"/>
      <c r="Y118" s="51"/>
      <c r="Z118" s="54">
        <f>(X118/E118)*100</f>
        <v>0</v>
      </c>
      <c r="AA118" s="54" t="e">
        <f>(Y118/G118)*100</f>
        <v>#DIV/0!</v>
      </c>
      <c r="AB118" s="55"/>
      <c r="AC118" s="213"/>
    </row>
    <row r="119" spans="1:29" s="38" customFormat="1" ht="128.25" customHeight="1" x14ac:dyDescent="0.4">
      <c r="A119" s="23"/>
      <c r="B119" s="69"/>
      <c r="C119" s="197" t="s">
        <v>232</v>
      </c>
      <c r="D119" s="25" t="s">
        <v>236</v>
      </c>
      <c r="E119" s="29">
        <v>1</v>
      </c>
      <c r="F119" s="29" t="s">
        <v>27</v>
      </c>
      <c r="G119" s="30">
        <v>23000000</v>
      </c>
      <c r="H119" s="29"/>
      <c r="I119" s="29"/>
      <c r="J119" s="74"/>
      <c r="K119" s="29">
        <v>1</v>
      </c>
      <c r="L119" s="29" t="s">
        <v>27</v>
      </c>
      <c r="M119" s="30">
        <v>5750000</v>
      </c>
      <c r="N119" s="29">
        <v>0</v>
      </c>
      <c r="O119" s="30">
        <f>0+0+0</f>
        <v>0</v>
      </c>
      <c r="P119" s="33"/>
      <c r="Q119" s="34"/>
      <c r="R119" s="32"/>
      <c r="S119" s="34"/>
      <c r="T119" s="33"/>
      <c r="U119" s="30"/>
      <c r="V119" s="36">
        <f t="shared" si="12"/>
        <v>0</v>
      </c>
      <c r="W119" s="34">
        <f>O119+Q119+S119+U119</f>
        <v>0</v>
      </c>
      <c r="X119" s="36">
        <f t="shared" ref="X119:X124" si="18">H119+V119</f>
        <v>0</v>
      </c>
      <c r="Y119" s="34">
        <f t="shared" ref="Y119:Y130" si="19">J119+W119</f>
        <v>0</v>
      </c>
      <c r="Z119" s="35">
        <f>(X119/E119)*100</f>
        <v>0</v>
      </c>
      <c r="AA119" s="36">
        <f>(Y119/G119)*100</f>
        <v>0</v>
      </c>
      <c r="AB119" s="42"/>
      <c r="AC119" s="212"/>
    </row>
    <row r="120" spans="1:29" s="38" customFormat="1" ht="176.25" customHeight="1" x14ac:dyDescent="0.4">
      <c r="A120" s="23"/>
      <c r="B120" s="69"/>
      <c r="C120" s="197" t="s">
        <v>233</v>
      </c>
      <c r="D120" s="25" t="s">
        <v>237</v>
      </c>
      <c r="E120" s="29">
        <v>1</v>
      </c>
      <c r="F120" s="29" t="s">
        <v>181</v>
      </c>
      <c r="G120" s="30">
        <v>6160000</v>
      </c>
      <c r="H120" s="29"/>
      <c r="I120" s="29"/>
      <c r="J120" s="74"/>
      <c r="K120" s="29">
        <v>1</v>
      </c>
      <c r="L120" s="29" t="s">
        <v>181</v>
      </c>
      <c r="M120" s="30">
        <v>1540000</v>
      </c>
      <c r="N120" s="29">
        <v>0</v>
      </c>
      <c r="O120" s="30">
        <f t="shared" ref="O120:O121" si="20">0+0+0</f>
        <v>0</v>
      </c>
      <c r="P120" s="33"/>
      <c r="Q120" s="34"/>
      <c r="R120" s="32"/>
      <c r="S120" s="34"/>
      <c r="T120" s="33"/>
      <c r="U120" s="30"/>
      <c r="V120" s="36">
        <f t="shared" si="12"/>
        <v>0</v>
      </c>
      <c r="W120" s="34">
        <f t="shared" ref="W120:W132" si="21">O120+Q120+S120+U120</f>
        <v>0</v>
      </c>
      <c r="X120" s="36">
        <f t="shared" si="18"/>
        <v>0</v>
      </c>
      <c r="Y120" s="34">
        <f t="shared" si="19"/>
        <v>0</v>
      </c>
      <c r="Z120" s="35">
        <f t="shared" ref="Z120:Z121" si="22">(X120/E120)*100</f>
        <v>0</v>
      </c>
      <c r="AA120" s="36">
        <f t="shared" ref="AA120:AA121" si="23">(Y120/G120)*100</f>
        <v>0</v>
      </c>
      <c r="AB120" s="42"/>
      <c r="AC120" s="212"/>
    </row>
    <row r="121" spans="1:29" s="38" customFormat="1" ht="128.25" customHeight="1" x14ac:dyDescent="0.4">
      <c r="A121" s="23"/>
      <c r="B121" s="69"/>
      <c r="C121" s="197" t="s">
        <v>234</v>
      </c>
      <c r="D121" s="25" t="s">
        <v>238</v>
      </c>
      <c r="E121" s="29">
        <v>4</v>
      </c>
      <c r="F121" s="29" t="s">
        <v>27</v>
      </c>
      <c r="G121" s="30">
        <v>4000000</v>
      </c>
      <c r="H121" s="29"/>
      <c r="I121" s="29"/>
      <c r="J121" s="74"/>
      <c r="K121" s="29">
        <v>4</v>
      </c>
      <c r="L121" s="29" t="s">
        <v>27</v>
      </c>
      <c r="M121" s="30">
        <v>1000000</v>
      </c>
      <c r="N121" s="29">
        <v>0</v>
      </c>
      <c r="O121" s="30">
        <f t="shared" si="20"/>
        <v>0</v>
      </c>
      <c r="P121" s="33"/>
      <c r="Q121" s="34"/>
      <c r="R121" s="32"/>
      <c r="S121" s="34"/>
      <c r="T121" s="33"/>
      <c r="U121" s="30"/>
      <c r="V121" s="36">
        <f t="shared" si="12"/>
        <v>0</v>
      </c>
      <c r="W121" s="34">
        <f t="shared" si="21"/>
        <v>0</v>
      </c>
      <c r="X121" s="36">
        <f t="shared" si="18"/>
        <v>0</v>
      </c>
      <c r="Y121" s="34">
        <f t="shared" si="19"/>
        <v>0</v>
      </c>
      <c r="Z121" s="35">
        <f t="shared" si="22"/>
        <v>0</v>
      </c>
      <c r="AA121" s="36">
        <f t="shared" si="23"/>
        <v>0</v>
      </c>
      <c r="AB121" s="42"/>
      <c r="AC121" s="212"/>
    </row>
    <row r="122" spans="1:29" s="38" customFormat="1" ht="192.75" customHeight="1" x14ac:dyDescent="0.4">
      <c r="A122" s="23"/>
      <c r="B122" s="69"/>
      <c r="C122" s="197" t="s">
        <v>235</v>
      </c>
      <c r="D122" s="25" t="s">
        <v>239</v>
      </c>
      <c r="E122" s="29">
        <v>18</v>
      </c>
      <c r="F122" s="29" t="s">
        <v>181</v>
      </c>
      <c r="G122" s="30">
        <v>53100000</v>
      </c>
      <c r="H122" s="29"/>
      <c r="I122" s="29"/>
      <c r="J122" s="74"/>
      <c r="K122" s="29">
        <v>18</v>
      </c>
      <c r="L122" s="29" t="s">
        <v>181</v>
      </c>
      <c r="M122" s="30">
        <v>13275000</v>
      </c>
      <c r="N122" s="29"/>
      <c r="O122" s="30">
        <f>0+0+345500</f>
        <v>345500</v>
      </c>
      <c r="P122" s="33"/>
      <c r="Q122" s="34"/>
      <c r="R122" s="32"/>
      <c r="S122" s="34"/>
      <c r="T122" s="33"/>
      <c r="U122" s="30"/>
      <c r="V122" s="36">
        <f t="shared" ref="V122:W127" si="24">N122+P122+R122+T122</f>
        <v>0</v>
      </c>
      <c r="W122" s="34">
        <f t="shared" si="24"/>
        <v>345500</v>
      </c>
      <c r="X122" s="36">
        <f t="shared" si="18"/>
        <v>0</v>
      </c>
      <c r="Y122" s="34">
        <f t="shared" si="19"/>
        <v>345500</v>
      </c>
      <c r="Z122" s="35">
        <f>(X122/E122)*100</f>
        <v>0</v>
      </c>
      <c r="AA122" s="36">
        <f>(Y122/G122)*100</f>
        <v>0.65065913370998119</v>
      </c>
      <c r="AB122" s="42"/>
      <c r="AC122" s="212"/>
    </row>
    <row r="123" spans="1:29" s="56" customFormat="1" ht="172.5" customHeight="1" x14ac:dyDescent="0.4">
      <c r="A123" s="47"/>
      <c r="B123" s="66"/>
      <c r="C123" s="48" t="s">
        <v>240</v>
      </c>
      <c r="D123" s="48" t="s">
        <v>245</v>
      </c>
      <c r="E123" s="52">
        <v>100</v>
      </c>
      <c r="F123" s="52" t="s">
        <v>20</v>
      </c>
      <c r="G123" s="51">
        <v>13200000</v>
      </c>
      <c r="H123" s="52"/>
      <c r="I123" s="52"/>
      <c r="J123" s="84"/>
      <c r="K123" s="52">
        <v>100</v>
      </c>
      <c r="L123" s="52" t="s">
        <v>20</v>
      </c>
      <c r="M123" s="51">
        <v>3300000</v>
      </c>
      <c r="N123" s="52"/>
      <c r="O123" s="51">
        <f>O124</f>
        <v>0</v>
      </c>
      <c r="P123" s="52"/>
      <c r="Q123" s="51"/>
      <c r="R123" s="52"/>
      <c r="S123" s="51"/>
      <c r="T123" s="52"/>
      <c r="U123" s="51"/>
      <c r="V123" s="52">
        <f t="shared" si="24"/>
        <v>0</v>
      </c>
      <c r="W123" s="51">
        <f t="shared" si="24"/>
        <v>0</v>
      </c>
      <c r="X123" s="52">
        <f t="shared" si="18"/>
        <v>0</v>
      </c>
      <c r="Y123" s="51">
        <f t="shared" si="19"/>
        <v>0</v>
      </c>
      <c r="Z123" s="49">
        <f>(X123/E123)*100</f>
        <v>0</v>
      </c>
      <c r="AA123" s="49">
        <f>(Y123/G123)*100</f>
        <v>0</v>
      </c>
      <c r="AB123" s="55"/>
      <c r="AC123" s="213"/>
    </row>
    <row r="124" spans="1:29" s="38" customFormat="1" ht="192.75" customHeight="1" x14ac:dyDescent="0.4">
      <c r="A124" s="23"/>
      <c r="B124" s="69"/>
      <c r="C124" s="197" t="s">
        <v>241</v>
      </c>
      <c r="D124" s="25" t="s">
        <v>242</v>
      </c>
      <c r="E124" s="29">
        <v>4</v>
      </c>
      <c r="F124" s="29" t="s">
        <v>27</v>
      </c>
      <c r="G124" s="30">
        <v>13200000</v>
      </c>
      <c r="H124" s="29"/>
      <c r="I124" s="29"/>
      <c r="J124" s="74"/>
      <c r="K124" s="29">
        <v>4</v>
      </c>
      <c r="L124" s="29" t="s">
        <v>27</v>
      </c>
      <c r="M124" s="30">
        <v>3300000</v>
      </c>
      <c r="N124" s="29">
        <v>0</v>
      </c>
      <c r="O124" s="30">
        <f>0+0+0</f>
        <v>0</v>
      </c>
      <c r="P124" s="33"/>
      <c r="Q124" s="34"/>
      <c r="R124" s="32"/>
      <c r="S124" s="34"/>
      <c r="T124" s="33"/>
      <c r="U124" s="30"/>
      <c r="V124" s="36">
        <f t="shared" si="24"/>
        <v>0</v>
      </c>
      <c r="W124" s="34">
        <f t="shared" si="24"/>
        <v>0</v>
      </c>
      <c r="X124" s="36">
        <f t="shared" si="18"/>
        <v>0</v>
      </c>
      <c r="Y124" s="34">
        <f t="shared" si="19"/>
        <v>0</v>
      </c>
      <c r="Z124" s="36">
        <f t="shared" ref="Z124:Z135" si="25">(X124/E124)*100</f>
        <v>0</v>
      </c>
      <c r="AA124" s="36">
        <f t="shared" ref="AA124:AA135" si="26">(Y124/G124)*100</f>
        <v>0</v>
      </c>
      <c r="AB124" s="42"/>
      <c r="AC124" s="212"/>
    </row>
    <row r="125" spans="1:29" s="56" customFormat="1" ht="172.5" customHeight="1" x14ac:dyDescent="0.4">
      <c r="A125" s="47"/>
      <c r="B125" s="66"/>
      <c r="C125" s="48" t="s">
        <v>243</v>
      </c>
      <c r="D125" s="48" t="s">
        <v>244</v>
      </c>
      <c r="E125" s="52">
        <v>100</v>
      </c>
      <c r="F125" s="52" t="s">
        <v>20</v>
      </c>
      <c r="G125" s="51">
        <v>92000000</v>
      </c>
      <c r="H125" s="52"/>
      <c r="I125" s="52"/>
      <c r="J125" s="84"/>
      <c r="K125" s="52">
        <v>100</v>
      </c>
      <c r="L125" s="52" t="s">
        <v>20</v>
      </c>
      <c r="M125" s="51">
        <v>38026000</v>
      </c>
      <c r="N125" s="52"/>
      <c r="O125" s="51">
        <f>O126</f>
        <v>0</v>
      </c>
      <c r="P125" s="52"/>
      <c r="Q125" s="51"/>
      <c r="R125" s="52"/>
      <c r="S125" s="51"/>
      <c r="T125" s="52"/>
      <c r="U125" s="51"/>
      <c r="V125" s="52">
        <f t="shared" si="24"/>
        <v>0</v>
      </c>
      <c r="W125" s="51">
        <f t="shared" si="24"/>
        <v>0</v>
      </c>
      <c r="X125" s="52"/>
      <c r="Y125" s="51">
        <f t="shared" si="19"/>
        <v>0</v>
      </c>
      <c r="Z125" s="49">
        <f t="shared" si="25"/>
        <v>0</v>
      </c>
      <c r="AA125" s="49">
        <f t="shared" si="26"/>
        <v>0</v>
      </c>
      <c r="AB125" s="55"/>
      <c r="AC125" s="213"/>
    </row>
    <row r="126" spans="1:29" s="38" customFormat="1" ht="192.75" customHeight="1" x14ac:dyDescent="0.4">
      <c r="A126" s="23"/>
      <c r="B126" s="69"/>
      <c r="C126" s="197" t="s">
        <v>246</v>
      </c>
      <c r="D126" s="25" t="s">
        <v>247</v>
      </c>
      <c r="E126" s="29">
        <v>60</v>
      </c>
      <c r="F126" s="29" t="s">
        <v>110</v>
      </c>
      <c r="G126" s="30">
        <v>92000000</v>
      </c>
      <c r="H126" s="29"/>
      <c r="I126" s="29"/>
      <c r="J126" s="74"/>
      <c r="K126" s="29">
        <v>60</v>
      </c>
      <c r="L126" s="29" t="s">
        <v>110</v>
      </c>
      <c r="M126" s="30">
        <v>38026000</v>
      </c>
      <c r="N126" s="29">
        <v>0</v>
      </c>
      <c r="O126" s="30">
        <f>0+0+0</f>
        <v>0</v>
      </c>
      <c r="P126" s="33"/>
      <c r="Q126" s="34"/>
      <c r="R126" s="32"/>
      <c r="S126" s="34"/>
      <c r="T126" s="33"/>
      <c r="U126" s="30"/>
      <c r="V126" s="36">
        <f t="shared" si="24"/>
        <v>0</v>
      </c>
      <c r="W126" s="34">
        <f t="shared" si="24"/>
        <v>0</v>
      </c>
      <c r="X126" s="36">
        <f>H126+V126</f>
        <v>0</v>
      </c>
      <c r="Y126" s="34">
        <f t="shared" si="19"/>
        <v>0</v>
      </c>
      <c r="Z126" s="36">
        <f t="shared" si="25"/>
        <v>0</v>
      </c>
      <c r="AA126" s="36">
        <f t="shared" si="26"/>
        <v>0</v>
      </c>
      <c r="AB126" s="42"/>
      <c r="AC126" s="212"/>
    </row>
    <row r="127" spans="1:29" s="56" customFormat="1" ht="172.5" customHeight="1" x14ac:dyDescent="0.4">
      <c r="A127" s="47"/>
      <c r="B127" s="66"/>
      <c r="C127" s="48" t="s">
        <v>248</v>
      </c>
      <c r="D127" s="48" t="s">
        <v>249</v>
      </c>
      <c r="E127" s="52">
        <v>100</v>
      </c>
      <c r="F127" s="52" t="s">
        <v>20</v>
      </c>
      <c r="G127" s="51">
        <v>2092745222</v>
      </c>
      <c r="H127" s="52"/>
      <c r="I127" s="52"/>
      <c r="J127" s="84"/>
      <c r="K127" s="52">
        <v>100</v>
      </c>
      <c r="L127" s="52" t="s">
        <v>20</v>
      </c>
      <c r="M127" s="51">
        <v>862608867</v>
      </c>
      <c r="N127" s="52"/>
      <c r="O127" s="51">
        <f>O128+O129+O130+O131+O132+O133+O134+O135</f>
        <v>55711244</v>
      </c>
      <c r="P127" s="52"/>
      <c r="Q127" s="51"/>
      <c r="R127" s="52"/>
      <c r="S127" s="51"/>
      <c r="T127" s="52"/>
      <c r="U127" s="51"/>
      <c r="V127" s="52">
        <f t="shared" si="24"/>
        <v>0</v>
      </c>
      <c r="W127" s="51">
        <f t="shared" si="24"/>
        <v>55711244</v>
      </c>
      <c r="X127" s="52"/>
      <c r="Y127" s="51">
        <f t="shared" si="19"/>
        <v>55711244</v>
      </c>
      <c r="Z127" s="49">
        <f t="shared" si="25"/>
        <v>0</v>
      </c>
      <c r="AA127" s="49">
        <f t="shared" si="26"/>
        <v>2.6621130663367487</v>
      </c>
      <c r="AB127" s="55"/>
      <c r="AC127" s="213"/>
    </row>
    <row r="128" spans="1:29" s="38" customFormat="1" ht="192.75" customHeight="1" x14ac:dyDescent="0.4">
      <c r="A128" s="23"/>
      <c r="B128" s="69"/>
      <c r="C128" s="197" t="s">
        <v>250</v>
      </c>
      <c r="D128" s="25" t="s">
        <v>251</v>
      </c>
      <c r="E128" s="29">
        <v>3</v>
      </c>
      <c r="F128" s="29" t="s">
        <v>192</v>
      </c>
      <c r="G128" s="30">
        <v>28850360</v>
      </c>
      <c r="H128" s="29"/>
      <c r="I128" s="29"/>
      <c r="J128" s="74"/>
      <c r="K128" s="29">
        <v>3</v>
      </c>
      <c r="L128" s="29" t="s">
        <v>192</v>
      </c>
      <c r="M128" s="30">
        <v>9301700</v>
      </c>
      <c r="N128" s="29">
        <v>0</v>
      </c>
      <c r="O128" s="30">
        <f>0+0+0</f>
        <v>0</v>
      </c>
      <c r="P128" s="33"/>
      <c r="Q128" s="34"/>
      <c r="R128" s="32"/>
      <c r="S128" s="34"/>
      <c r="T128" s="33"/>
      <c r="U128" s="30"/>
      <c r="V128" s="36">
        <f t="shared" si="12"/>
        <v>0</v>
      </c>
      <c r="W128" s="34">
        <f t="shared" si="21"/>
        <v>0</v>
      </c>
      <c r="X128" s="36">
        <f>H128+V128</f>
        <v>0</v>
      </c>
      <c r="Y128" s="34">
        <f t="shared" si="19"/>
        <v>0</v>
      </c>
      <c r="Z128" s="36">
        <f t="shared" si="25"/>
        <v>0</v>
      </c>
      <c r="AA128" s="36">
        <f t="shared" si="26"/>
        <v>0</v>
      </c>
      <c r="AB128" s="42"/>
      <c r="AC128" s="212"/>
    </row>
    <row r="129" spans="1:29" s="38" customFormat="1" ht="192.75" customHeight="1" x14ac:dyDescent="0.4">
      <c r="A129" s="23"/>
      <c r="B129" s="69"/>
      <c r="C129" s="197" t="s">
        <v>252</v>
      </c>
      <c r="D129" s="25" t="s">
        <v>253</v>
      </c>
      <c r="E129" s="29">
        <v>4</v>
      </c>
      <c r="F129" s="29" t="s">
        <v>192</v>
      </c>
      <c r="G129" s="30">
        <v>45541320</v>
      </c>
      <c r="H129" s="29"/>
      <c r="I129" s="29"/>
      <c r="J129" s="74"/>
      <c r="K129" s="29">
        <v>4</v>
      </c>
      <c r="L129" s="29" t="s">
        <v>192</v>
      </c>
      <c r="M129" s="30">
        <v>100000</v>
      </c>
      <c r="N129" s="29">
        <v>0</v>
      </c>
      <c r="O129" s="30">
        <f t="shared" ref="O129:O130" si="27">0+0+0</f>
        <v>0</v>
      </c>
      <c r="P129" s="33"/>
      <c r="Q129" s="34"/>
      <c r="R129" s="32"/>
      <c r="S129" s="34"/>
      <c r="T129" s="33"/>
      <c r="U129" s="30"/>
      <c r="V129" s="36">
        <f t="shared" si="12"/>
        <v>0</v>
      </c>
      <c r="W129" s="34">
        <f t="shared" si="21"/>
        <v>0</v>
      </c>
      <c r="X129" s="36">
        <f>H129+V129</f>
        <v>0</v>
      </c>
      <c r="Y129" s="34">
        <f t="shared" si="19"/>
        <v>0</v>
      </c>
      <c r="Z129" s="36">
        <f t="shared" si="25"/>
        <v>0</v>
      </c>
      <c r="AA129" s="36">
        <f t="shared" si="26"/>
        <v>0</v>
      </c>
      <c r="AB129" s="42"/>
      <c r="AC129" s="212"/>
    </row>
    <row r="130" spans="1:29" s="38" customFormat="1" ht="192.75" customHeight="1" x14ac:dyDescent="0.4">
      <c r="A130" s="23"/>
      <c r="B130" s="69"/>
      <c r="C130" s="197" t="s">
        <v>254</v>
      </c>
      <c r="D130" s="25" t="s">
        <v>255</v>
      </c>
      <c r="E130" s="29">
        <v>4</v>
      </c>
      <c r="F130" s="29" t="s">
        <v>192</v>
      </c>
      <c r="G130" s="30">
        <v>324019080</v>
      </c>
      <c r="H130" s="29"/>
      <c r="I130" s="29"/>
      <c r="J130" s="74"/>
      <c r="K130" s="29">
        <v>4</v>
      </c>
      <c r="L130" s="29" t="s">
        <v>192</v>
      </c>
      <c r="M130" s="30">
        <v>74853300</v>
      </c>
      <c r="N130" s="29">
        <v>0</v>
      </c>
      <c r="O130" s="30">
        <f t="shared" si="27"/>
        <v>0</v>
      </c>
      <c r="P130" s="33"/>
      <c r="Q130" s="34"/>
      <c r="R130" s="32"/>
      <c r="S130" s="34"/>
      <c r="T130" s="33"/>
      <c r="U130" s="30"/>
      <c r="V130" s="36">
        <f t="shared" si="12"/>
        <v>0</v>
      </c>
      <c r="W130" s="34">
        <f t="shared" si="21"/>
        <v>0</v>
      </c>
      <c r="X130" s="36">
        <f>H130+V130</f>
        <v>0</v>
      </c>
      <c r="Y130" s="34">
        <f t="shared" si="19"/>
        <v>0</v>
      </c>
      <c r="Z130" s="36">
        <f t="shared" si="25"/>
        <v>0</v>
      </c>
      <c r="AA130" s="36">
        <f t="shared" si="26"/>
        <v>0</v>
      </c>
      <c r="AB130" s="42"/>
      <c r="AC130" s="212"/>
    </row>
    <row r="131" spans="1:29" s="38" customFormat="1" ht="192.75" customHeight="1" x14ac:dyDescent="0.4">
      <c r="A131" s="23"/>
      <c r="B131" s="69"/>
      <c r="C131" s="197" t="s">
        <v>256</v>
      </c>
      <c r="D131" s="25" t="s">
        <v>261</v>
      </c>
      <c r="E131" s="29">
        <v>4</v>
      </c>
      <c r="F131" s="29" t="s">
        <v>192</v>
      </c>
      <c r="G131" s="30">
        <v>570904358</v>
      </c>
      <c r="H131" s="29"/>
      <c r="I131" s="29"/>
      <c r="J131" s="74"/>
      <c r="K131" s="29">
        <v>4</v>
      </c>
      <c r="L131" s="29" t="s">
        <v>192</v>
      </c>
      <c r="M131" s="30">
        <v>135308830</v>
      </c>
      <c r="N131" s="29"/>
      <c r="O131" s="30">
        <f>0+22550000+11580000</f>
        <v>34130000</v>
      </c>
      <c r="P131" s="33"/>
      <c r="Q131" s="34"/>
      <c r="R131" s="32"/>
      <c r="S131" s="34"/>
      <c r="T131" s="33"/>
      <c r="U131" s="30"/>
      <c r="V131" s="36">
        <f>N131+P131+R131+T131</f>
        <v>0</v>
      </c>
      <c r="W131" s="34">
        <f>O131+Q131+S131+U131</f>
        <v>34130000</v>
      </c>
      <c r="X131" s="36">
        <f>H131+V131</f>
        <v>0</v>
      </c>
      <c r="Y131" s="34">
        <f t="shared" ref="Y131:Y133" si="28">J131+W131</f>
        <v>34130000</v>
      </c>
      <c r="Z131" s="36">
        <f t="shared" si="25"/>
        <v>0</v>
      </c>
      <c r="AA131" s="36">
        <f t="shared" si="26"/>
        <v>5.9782342736994831</v>
      </c>
      <c r="AB131" s="42"/>
      <c r="AC131" s="212"/>
    </row>
    <row r="132" spans="1:29" s="38" customFormat="1" ht="192.75" customHeight="1" x14ac:dyDescent="0.4">
      <c r="A132" s="23"/>
      <c r="B132" s="69"/>
      <c r="C132" s="197" t="s">
        <v>257</v>
      </c>
      <c r="D132" s="25" t="s">
        <v>262</v>
      </c>
      <c r="E132" s="29">
        <v>6</v>
      </c>
      <c r="F132" s="29" t="s">
        <v>192</v>
      </c>
      <c r="G132" s="30">
        <v>60000000</v>
      </c>
      <c r="H132" s="29"/>
      <c r="I132" s="29"/>
      <c r="J132" s="74"/>
      <c r="K132" s="29">
        <v>6</v>
      </c>
      <c r="L132" s="29" t="s">
        <v>192</v>
      </c>
      <c r="M132" s="30">
        <v>18248800</v>
      </c>
      <c r="N132" s="29">
        <v>0</v>
      </c>
      <c r="O132" s="30">
        <f>0+0+0</f>
        <v>0</v>
      </c>
      <c r="P132" s="33"/>
      <c r="Q132" s="34"/>
      <c r="R132" s="32"/>
      <c r="S132" s="34"/>
      <c r="T132" s="33"/>
      <c r="U132" s="30"/>
      <c r="V132" s="36">
        <f t="shared" si="12"/>
        <v>0</v>
      </c>
      <c r="W132" s="34">
        <f t="shared" si="21"/>
        <v>0</v>
      </c>
      <c r="X132" s="36">
        <f t="shared" ref="X132" si="29">H132+V132</f>
        <v>0</v>
      </c>
      <c r="Y132" s="34">
        <f>J132+W132</f>
        <v>0</v>
      </c>
      <c r="Z132" s="36">
        <f t="shared" si="25"/>
        <v>0</v>
      </c>
      <c r="AA132" s="36">
        <f t="shared" si="26"/>
        <v>0</v>
      </c>
      <c r="AB132" s="42"/>
      <c r="AC132" s="212"/>
    </row>
    <row r="133" spans="1:29" s="38" customFormat="1" ht="192.75" customHeight="1" x14ac:dyDescent="0.4">
      <c r="A133" s="23"/>
      <c r="B133" s="69"/>
      <c r="C133" s="197" t="s">
        <v>258</v>
      </c>
      <c r="D133" s="25" t="s">
        <v>263</v>
      </c>
      <c r="E133" s="29">
        <v>1</v>
      </c>
      <c r="F133" s="29" t="s">
        <v>27</v>
      </c>
      <c r="G133" s="30">
        <v>5275600</v>
      </c>
      <c r="H133" s="29"/>
      <c r="I133" s="29"/>
      <c r="J133" s="74"/>
      <c r="K133" s="29">
        <v>1</v>
      </c>
      <c r="L133" s="29" t="s">
        <v>27</v>
      </c>
      <c r="M133" s="30">
        <v>1314000</v>
      </c>
      <c r="N133" s="29">
        <v>0</v>
      </c>
      <c r="O133" s="30">
        <f>0+0+0</f>
        <v>0</v>
      </c>
      <c r="P133" s="33"/>
      <c r="Q133" s="34"/>
      <c r="R133" s="32"/>
      <c r="S133" s="34"/>
      <c r="T133" s="33"/>
      <c r="U133" s="30"/>
      <c r="V133" s="36">
        <f t="shared" si="12"/>
        <v>0</v>
      </c>
      <c r="W133" s="34">
        <f t="shared" ref="W133:W144" si="30">O133+Q133+S133+U133</f>
        <v>0</v>
      </c>
      <c r="X133" s="36">
        <f>H133+V133</f>
        <v>0</v>
      </c>
      <c r="Y133" s="34">
        <f t="shared" si="28"/>
        <v>0</v>
      </c>
      <c r="Z133" s="36">
        <f t="shared" si="25"/>
        <v>0</v>
      </c>
      <c r="AA133" s="36">
        <f t="shared" si="26"/>
        <v>0</v>
      </c>
      <c r="AB133" s="42"/>
      <c r="AC133" s="212"/>
    </row>
    <row r="134" spans="1:29" s="38" customFormat="1" ht="192.75" customHeight="1" x14ac:dyDescent="0.4">
      <c r="A134" s="23"/>
      <c r="B134" s="69"/>
      <c r="C134" s="197" t="s">
        <v>259</v>
      </c>
      <c r="D134" s="25" t="s">
        <v>264</v>
      </c>
      <c r="E134" s="29">
        <v>6</v>
      </c>
      <c r="F134" s="29" t="s">
        <v>181</v>
      </c>
      <c r="G134" s="30">
        <v>43999560</v>
      </c>
      <c r="H134" s="29"/>
      <c r="I134" s="29"/>
      <c r="J134" s="74"/>
      <c r="K134" s="29">
        <v>6</v>
      </c>
      <c r="L134" s="29" t="s">
        <v>181</v>
      </c>
      <c r="M134" s="30">
        <v>13490000</v>
      </c>
      <c r="N134" s="29"/>
      <c r="O134" s="30">
        <f>0+420000+350000</f>
        <v>770000</v>
      </c>
      <c r="P134" s="33"/>
      <c r="Q134" s="34"/>
      <c r="R134" s="32"/>
      <c r="S134" s="34"/>
      <c r="T134" s="33"/>
      <c r="U134" s="30"/>
      <c r="V134" s="36">
        <f t="shared" si="12"/>
        <v>0</v>
      </c>
      <c r="W134" s="34">
        <f t="shared" si="30"/>
        <v>770000</v>
      </c>
      <c r="X134" s="36">
        <f>H134+V134</f>
        <v>0</v>
      </c>
      <c r="Y134" s="34">
        <f>J134+W134</f>
        <v>770000</v>
      </c>
      <c r="Z134" s="36">
        <f t="shared" si="25"/>
        <v>0</v>
      </c>
      <c r="AA134" s="36">
        <f t="shared" si="26"/>
        <v>1.7500175001750016</v>
      </c>
      <c r="AB134" s="42"/>
      <c r="AC134" s="212"/>
    </row>
    <row r="135" spans="1:29" s="38" customFormat="1" ht="192.75" customHeight="1" x14ac:dyDescent="0.4">
      <c r="A135" s="23"/>
      <c r="B135" s="69"/>
      <c r="C135" s="197" t="s">
        <v>260</v>
      </c>
      <c r="D135" s="25" t="s">
        <v>265</v>
      </c>
      <c r="E135" s="29">
        <v>1</v>
      </c>
      <c r="F135" s="29" t="s">
        <v>181</v>
      </c>
      <c r="G135" s="30">
        <v>1014154994</v>
      </c>
      <c r="H135" s="29"/>
      <c r="I135" s="29"/>
      <c r="J135" s="74"/>
      <c r="K135" s="29">
        <v>1</v>
      </c>
      <c r="L135" s="29" t="s">
        <v>181</v>
      </c>
      <c r="M135" s="30">
        <v>609992237</v>
      </c>
      <c r="N135" s="29"/>
      <c r="O135" s="30">
        <f>0+2280000+18531244</f>
        <v>20811244</v>
      </c>
      <c r="P135" s="33"/>
      <c r="Q135" s="34"/>
      <c r="R135" s="32"/>
      <c r="S135" s="34"/>
      <c r="T135" s="33"/>
      <c r="U135" s="30"/>
      <c r="V135" s="36">
        <f t="shared" si="12"/>
        <v>0</v>
      </c>
      <c r="W135" s="34">
        <f t="shared" si="30"/>
        <v>20811244</v>
      </c>
      <c r="X135" s="36">
        <f>H135+V135</f>
        <v>0</v>
      </c>
      <c r="Y135" s="34">
        <f>J135+W135</f>
        <v>20811244</v>
      </c>
      <c r="Z135" s="36">
        <f t="shared" si="25"/>
        <v>0</v>
      </c>
      <c r="AA135" s="36">
        <f t="shared" si="26"/>
        <v>2.052077258715348</v>
      </c>
      <c r="AB135" s="42"/>
      <c r="AC135" s="212"/>
    </row>
    <row r="136" spans="1:29" s="56" customFormat="1" ht="172.5" customHeight="1" x14ac:dyDescent="0.4">
      <c r="A136" s="47"/>
      <c r="B136" s="66"/>
      <c r="C136" s="48" t="s">
        <v>189</v>
      </c>
      <c r="D136" s="48" t="s">
        <v>190</v>
      </c>
      <c r="E136" s="52">
        <v>100</v>
      </c>
      <c r="F136" s="52" t="s">
        <v>20</v>
      </c>
      <c r="G136" s="51">
        <v>8669179200</v>
      </c>
      <c r="H136" s="52">
        <v>100</v>
      </c>
      <c r="I136" s="52" t="s">
        <v>20</v>
      </c>
      <c r="J136" s="84">
        <v>4196852448</v>
      </c>
      <c r="K136" s="52">
        <v>100</v>
      </c>
      <c r="L136" s="52" t="s">
        <v>20</v>
      </c>
      <c r="M136" s="51">
        <f>SUM(M137:M140)</f>
        <v>2756444200</v>
      </c>
      <c r="N136" s="52">
        <v>0</v>
      </c>
      <c r="O136" s="51">
        <f>O137+O138+O139+O140</f>
        <v>0</v>
      </c>
      <c r="P136" s="52"/>
      <c r="Q136" s="51"/>
      <c r="R136" s="52"/>
      <c r="S136" s="51"/>
      <c r="T136" s="52"/>
      <c r="U136" s="51"/>
      <c r="V136" s="52">
        <f>N136+P136+R136+T136</f>
        <v>0</v>
      </c>
      <c r="W136" s="51">
        <f t="shared" si="30"/>
        <v>0</v>
      </c>
      <c r="X136" s="52">
        <f>H136+V136</f>
        <v>100</v>
      </c>
      <c r="Y136" s="51">
        <f>J136+W136</f>
        <v>4196852448</v>
      </c>
      <c r="Z136" s="54">
        <f>(X136/E136)*100</f>
        <v>100</v>
      </c>
      <c r="AA136" s="49">
        <f>(Y136/G136)*100</f>
        <v>48.411185778695177</v>
      </c>
      <c r="AB136" s="55"/>
      <c r="AC136" s="213"/>
    </row>
    <row r="137" spans="1:29" s="38" customFormat="1" ht="120.75" customHeight="1" x14ac:dyDescent="0.4">
      <c r="A137" s="23"/>
      <c r="B137" s="69"/>
      <c r="C137" s="197" t="s">
        <v>266</v>
      </c>
      <c r="D137" s="25" t="s">
        <v>267</v>
      </c>
      <c r="E137" s="29">
        <v>10</v>
      </c>
      <c r="F137" s="29" t="s">
        <v>110</v>
      </c>
      <c r="G137" s="30">
        <v>55673200</v>
      </c>
      <c r="H137" s="29"/>
      <c r="I137" s="29"/>
      <c r="J137" s="74"/>
      <c r="K137" s="29">
        <v>10</v>
      </c>
      <c r="L137" s="29" t="s">
        <v>110</v>
      </c>
      <c r="M137" s="30">
        <v>118262800</v>
      </c>
      <c r="N137" s="29">
        <v>0</v>
      </c>
      <c r="O137" s="30">
        <f>0+0+0</f>
        <v>0</v>
      </c>
      <c r="P137" s="33"/>
      <c r="Q137" s="34"/>
      <c r="R137" s="59"/>
      <c r="S137" s="34"/>
      <c r="T137" s="33"/>
      <c r="U137" s="30"/>
      <c r="V137" s="36">
        <f t="shared" si="12"/>
        <v>0</v>
      </c>
      <c r="W137" s="34">
        <f t="shared" si="30"/>
        <v>0</v>
      </c>
      <c r="X137" s="36">
        <f>H137+V137</f>
        <v>0</v>
      </c>
      <c r="Y137" s="34">
        <f t="shared" ref="Y137:Y143" si="31">J137+W137</f>
        <v>0</v>
      </c>
      <c r="Z137" s="35">
        <f t="shared" ref="Z137:Z149" si="32">(X137/E137)*100</f>
        <v>0</v>
      </c>
      <c r="AA137" s="36">
        <f t="shared" ref="AA137:AA149" si="33">(Y137/G137)*100</f>
        <v>0</v>
      </c>
      <c r="AB137" s="42"/>
      <c r="AC137" s="212"/>
    </row>
    <row r="138" spans="1:29" s="38" customFormat="1" ht="120.75" customHeight="1" x14ac:dyDescent="0.4">
      <c r="A138" s="23"/>
      <c r="B138" s="69"/>
      <c r="C138" s="197" t="s">
        <v>289</v>
      </c>
      <c r="D138" s="25" t="s">
        <v>268</v>
      </c>
      <c r="E138" s="29">
        <v>1</v>
      </c>
      <c r="F138" s="29" t="s">
        <v>110</v>
      </c>
      <c r="G138" s="30">
        <v>110000000</v>
      </c>
      <c r="H138" s="29"/>
      <c r="I138" s="29"/>
      <c r="J138" s="74"/>
      <c r="K138" s="29">
        <v>1</v>
      </c>
      <c r="L138" s="29" t="s">
        <v>110</v>
      </c>
      <c r="M138" s="30">
        <v>491781400</v>
      </c>
      <c r="N138" s="29">
        <v>0</v>
      </c>
      <c r="O138" s="30">
        <f t="shared" ref="O138:O140" si="34">0+0+0</f>
        <v>0</v>
      </c>
      <c r="P138" s="33"/>
      <c r="Q138" s="34"/>
      <c r="R138" s="59"/>
      <c r="S138" s="34"/>
      <c r="T138" s="33"/>
      <c r="U138" s="30"/>
      <c r="V138" s="36">
        <f t="shared" si="12"/>
        <v>0</v>
      </c>
      <c r="W138" s="34">
        <f t="shared" si="30"/>
        <v>0</v>
      </c>
      <c r="X138" s="36">
        <f t="shared" ref="X138:X143" si="35">H138+V138</f>
        <v>0</v>
      </c>
      <c r="Y138" s="34">
        <f t="shared" si="31"/>
        <v>0</v>
      </c>
      <c r="Z138" s="35">
        <f t="shared" si="32"/>
        <v>0</v>
      </c>
      <c r="AA138" s="36">
        <f t="shared" si="33"/>
        <v>0</v>
      </c>
      <c r="AB138" s="42"/>
      <c r="AC138" s="212"/>
    </row>
    <row r="139" spans="1:29" s="38" customFormat="1" ht="120.75" customHeight="1" x14ac:dyDescent="0.4">
      <c r="A139" s="23"/>
      <c r="B139" s="69"/>
      <c r="C139" s="197" t="s">
        <v>191</v>
      </c>
      <c r="D139" s="25" t="s">
        <v>269</v>
      </c>
      <c r="E139" s="29">
        <v>1</v>
      </c>
      <c r="F139" s="29" t="s">
        <v>110</v>
      </c>
      <c r="G139" s="30">
        <v>4920000000</v>
      </c>
      <c r="H139" s="29"/>
      <c r="I139" s="29"/>
      <c r="J139" s="74"/>
      <c r="K139" s="29">
        <v>1</v>
      </c>
      <c r="L139" s="29" t="s">
        <v>110</v>
      </c>
      <c r="M139" s="30">
        <v>2145400000</v>
      </c>
      <c r="N139" s="29">
        <v>0</v>
      </c>
      <c r="O139" s="30">
        <f t="shared" si="34"/>
        <v>0</v>
      </c>
      <c r="P139" s="33"/>
      <c r="Q139" s="34"/>
      <c r="R139" s="59"/>
      <c r="S139" s="34"/>
      <c r="T139" s="33"/>
      <c r="U139" s="30"/>
      <c r="V139" s="36">
        <f t="shared" si="12"/>
        <v>0</v>
      </c>
      <c r="W139" s="34">
        <f t="shared" si="30"/>
        <v>0</v>
      </c>
      <c r="X139" s="36">
        <f t="shared" si="35"/>
        <v>0</v>
      </c>
      <c r="Y139" s="34">
        <f t="shared" si="31"/>
        <v>0</v>
      </c>
      <c r="Z139" s="35">
        <f t="shared" si="32"/>
        <v>0</v>
      </c>
      <c r="AA139" s="36">
        <f t="shared" si="33"/>
        <v>0</v>
      </c>
      <c r="AB139" s="42"/>
      <c r="AC139" s="212"/>
    </row>
    <row r="140" spans="1:29" s="38" customFormat="1" ht="120.75" customHeight="1" x14ac:dyDescent="0.4">
      <c r="A140" s="23"/>
      <c r="B140" s="69"/>
      <c r="C140" s="197" t="s">
        <v>270</v>
      </c>
      <c r="D140" s="25" t="s">
        <v>271</v>
      </c>
      <c r="E140" s="29">
        <v>2</v>
      </c>
      <c r="F140" s="29" t="s">
        <v>110</v>
      </c>
      <c r="G140" s="30">
        <v>179200000</v>
      </c>
      <c r="H140" s="29"/>
      <c r="I140" s="29"/>
      <c r="J140" s="74"/>
      <c r="K140" s="29">
        <v>2</v>
      </c>
      <c r="L140" s="29" t="s">
        <v>110</v>
      </c>
      <c r="M140" s="30">
        <v>1000000</v>
      </c>
      <c r="N140" s="29">
        <v>0</v>
      </c>
      <c r="O140" s="30">
        <f t="shared" si="34"/>
        <v>0</v>
      </c>
      <c r="P140" s="33"/>
      <c r="Q140" s="34"/>
      <c r="R140" s="59"/>
      <c r="S140" s="34"/>
      <c r="T140" s="33"/>
      <c r="U140" s="30"/>
      <c r="V140" s="36">
        <f t="shared" si="12"/>
        <v>0</v>
      </c>
      <c r="W140" s="34">
        <f t="shared" si="30"/>
        <v>0</v>
      </c>
      <c r="X140" s="36">
        <f t="shared" si="35"/>
        <v>0</v>
      </c>
      <c r="Y140" s="34">
        <f t="shared" si="31"/>
        <v>0</v>
      </c>
      <c r="Z140" s="35">
        <f t="shared" si="32"/>
        <v>0</v>
      </c>
      <c r="AA140" s="36">
        <f t="shared" si="33"/>
        <v>0</v>
      </c>
      <c r="AB140" s="42"/>
      <c r="AC140" s="212"/>
    </row>
    <row r="141" spans="1:29" s="56" customFormat="1" ht="172.5" customHeight="1" x14ac:dyDescent="0.4">
      <c r="A141" s="47"/>
      <c r="B141" s="66"/>
      <c r="C141" s="48" t="s">
        <v>272</v>
      </c>
      <c r="D141" s="48" t="s">
        <v>185</v>
      </c>
      <c r="E141" s="52"/>
      <c r="F141" s="52"/>
      <c r="G141" s="51">
        <v>2901136200</v>
      </c>
      <c r="H141" s="52"/>
      <c r="I141" s="52"/>
      <c r="J141" s="84"/>
      <c r="K141" s="52">
        <v>100</v>
      </c>
      <c r="L141" s="52" t="s">
        <v>20</v>
      </c>
      <c r="M141" s="51">
        <f>SUM(M142:M143)</f>
        <v>806301250</v>
      </c>
      <c r="N141" s="52"/>
      <c r="O141" s="51">
        <f>O142+O143</f>
        <v>152968022</v>
      </c>
      <c r="P141" s="52"/>
      <c r="Q141" s="51"/>
      <c r="R141" s="52"/>
      <c r="S141" s="51"/>
      <c r="T141" s="52"/>
      <c r="U141" s="51"/>
      <c r="V141" s="52">
        <f>N141+P141+R141+T141</f>
        <v>0</v>
      </c>
      <c r="W141" s="51">
        <f t="shared" si="30"/>
        <v>152968022</v>
      </c>
      <c r="X141" s="52"/>
      <c r="Y141" s="51">
        <f t="shared" si="31"/>
        <v>152968022</v>
      </c>
      <c r="Z141" s="54" t="e">
        <f t="shared" si="32"/>
        <v>#DIV/0!</v>
      </c>
      <c r="AA141" s="49">
        <f t="shared" si="33"/>
        <v>5.2726935743313259</v>
      </c>
      <c r="AB141" s="55"/>
      <c r="AC141" s="213"/>
    </row>
    <row r="142" spans="1:29" s="38" customFormat="1" ht="138" customHeight="1" x14ac:dyDescent="0.4">
      <c r="A142" s="23"/>
      <c r="B142" s="69"/>
      <c r="C142" s="197" t="s">
        <v>273</v>
      </c>
      <c r="D142" s="25" t="s">
        <v>274</v>
      </c>
      <c r="E142" s="29">
        <v>12</v>
      </c>
      <c r="F142" s="29" t="s">
        <v>181</v>
      </c>
      <c r="G142" s="30">
        <v>744571400</v>
      </c>
      <c r="H142" s="29"/>
      <c r="I142" s="29"/>
      <c r="J142" s="74"/>
      <c r="K142" s="29">
        <v>12</v>
      </c>
      <c r="L142" s="29" t="s">
        <v>181</v>
      </c>
      <c r="M142" s="30">
        <v>514660050</v>
      </c>
      <c r="N142" s="29"/>
      <c r="O142" s="30">
        <f>32145344+24496322+21082141</f>
        <v>77723807</v>
      </c>
      <c r="P142" s="33"/>
      <c r="Q142" s="34"/>
      <c r="R142" s="59"/>
      <c r="S142" s="34"/>
      <c r="T142" s="33"/>
      <c r="U142" s="30"/>
      <c r="V142" s="36">
        <f t="shared" si="12"/>
        <v>0</v>
      </c>
      <c r="W142" s="34">
        <f t="shared" si="30"/>
        <v>77723807</v>
      </c>
      <c r="X142" s="36">
        <f t="shared" si="35"/>
        <v>0</v>
      </c>
      <c r="Y142" s="34">
        <f t="shared" si="31"/>
        <v>77723807</v>
      </c>
      <c r="Z142" s="35">
        <f t="shared" si="32"/>
        <v>0</v>
      </c>
      <c r="AA142" s="36">
        <f t="shared" si="33"/>
        <v>10.438731194886078</v>
      </c>
      <c r="AB142" s="42"/>
      <c r="AC142" s="212"/>
    </row>
    <row r="143" spans="1:29" s="38" customFormat="1" ht="120.75" customHeight="1" x14ac:dyDescent="0.4">
      <c r="A143" s="23"/>
      <c r="B143" s="69"/>
      <c r="C143" s="197" t="s">
        <v>275</v>
      </c>
      <c r="D143" s="25" t="s">
        <v>276</v>
      </c>
      <c r="E143" s="29">
        <v>12</v>
      </c>
      <c r="F143" s="29" t="s">
        <v>181</v>
      </c>
      <c r="G143" s="30">
        <v>1206564800</v>
      </c>
      <c r="H143" s="29"/>
      <c r="I143" s="29"/>
      <c r="J143" s="74"/>
      <c r="K143" s="29">
        <v>12</v>
      </c>
      <c r="L143" s="29" t="s">
        <v>181</v>
      </c>
      <c r="M143" s="30">
        <v>291641200</v>
      </c>
      <c r="N143" s="29"/>
      <c r="O143" s="30">
        <f>25538812+25295292+24410111</f>
        <v>75244215</v>
      </c>
      <c r="P143" s="33"/>
      <c r="Q143" s="34"/>
      <c r="R143" s="59"/>
      <c r="S143" s="34"/>
      <c r="T143" s="33"/>
      <c r="U143" s="30"/>
      <c r="V143" s="36">
        <f t="shared" si="12"/>
        <v>0</v>
      </c>
      <c r="W143" s="34">
        <f t="shared" si="30"/>
        <v>75244215</v>
      </c>
      <c r="X143" s="36">
        <f t="shared" si="35"/>
        <v>0</v>
      </c>
      <c r="Y143" s="34">
        <f t="shared" si="31"/>
        <v>75244215</v>
      </c>
      <c r="Z143" s="35">
        <f t="shared" si="32"/>
        <v>0</v>
      </c>
      <c r="AA143" s="36">
        <f t="shared" si="33"/>
        <v>6.2362348876744953</v>
      </c>
      <c r="AB143" s="42"/>
      <c r="AC143" s="212"/>
    </row>
    <row r="144" spans="1:29" s="56" customFormat="1" ht="172.5" customHeight="1" x14ac:dyDescent="0.4">
      <c r="A144" s="47"/>
      <c r="B144" s="66"/>
      <c r="C144" s="48" t="s">
        <v>277</v>
      </c>
      <c r="D144" s="48" t="s">
        <v>278</v>
      </c>
      <c r="E144" s="52">
        <v>100</v>
      </c>
      <c r="F144" s="52" t="s">
        <v>20</v>
      </c>
      <c r="G144" s="51">
        <v>1458415671</v>
      </c>
      <c r="H144" s="52"/>
      <c r="I144" s="52"/>
      <c r="J144" s="84"/>
      <c r="K144" s="52">
        <v>100</v>
      </c>
      <c r="L144" s="52" t="s">
        <v>20</v>
      </c>
      <c r="M144" s="51">
        <f>SUM(M145:M149)</f>
        <v>1038145847</v>
      </c>
      <c r="N144" s="52"/>
      <c r="O144" s="51">
        <f>O145+O146+O147+O148+O149</f>
        <v>28789955</v>
      </c>
      <c r="P144" s="52"/>
      <c r="Q144" s="51"/>
      <c r="R144" s="52"/>
      <c r="S144" s="51"/>
      <c r="T144" s="52"/>
      <c r="U144" s="51"/>
      <c r="V144" s="52">
        <f t="shared" ref="V144:V149" si="36">N144+P144+R144+T144</f>
        <v>0</v>
      </c>
      <c r="W144" s="51">
        <f t="shared" si="30"/>
        <v>28789955</v>
      </c>
      <c r="X144" s="52"/>
      <c r="Y144" s="51">
        <f t="shared" ref="Y144:Y149" si="37">J144+W144</f>
        <v>28789955</v>
      </c>
      <c r="Z144" s="54">
        <f t="shared" si="32"/>
        <v>0</v>
      </c>
      <c r="AA144" s="49">
        <f t="shared" si="33"/>
        <v>1.9740568873796751</v>
      </c>
      <c r="AB144" s="55"/>
      <c r="AC144" s="213"/>
    </row>
    <row r="145" spans="1:29" s="38" customFormat="1" ht="179.25" customHeight="1" x14ac:dyDescent="0.4">
      <c r="A145" s="23"/>
      <c r="B145" s="69"/>
      <c r="C145" s="197" t="s">
        <v>280</v>
      </c>
      <c r="D145" s="25" t="s">
        <v>279</v>
      </c>
      <c r="E145" s="29">
        <v>64</v>
      </c>
      <c r="F145" s="29" t="s">
        <v>110</v>
      </c>
      <c r="G145" s="30">
        <v>517086356</v>
      </c>
      <c r="H145" s="29"/>
      <c r="I145" s="29"/>
      <c r="J145" s="74"/>
      <c r="K145" s="29">
        <v>12</v>
      </c>
      <c r="L145" s="29" t="s">
        <v>110</v>
      </c>
      <c r="M145" s="30">
        <v>69374247</v>
      </c>
      <c r="N145" s="29"/>
      <c r="O145" s="30">
        <f>0+4604930+6030000</f>
        <v>10634930</v>
      </c>
      <c r="P145" s="33"/>
      <c r="Q145" s="34"/>
      <c r="R145" s="59"/>
      <c r="S145" s="34"/>
      <c r="T145" s="33"/>
      <c r="U145" s="30"/>
      <c r="V145" s="36">
        <f t="shared" si="36"/>
        <v>0</v>
      </c>
      <c r="W145" s="34">
        <f t="shared" ref="W145:W149" si="38">O145+Q145+S145+U145</f>
        <v>10634930</v>
      </c>
      <c r="X145" s="36">
        <f t="shared" ref="X145:X149" si="39">H145+V145</f>
        <v>0</v>
      </c>
      <c r="Y145" s="34">
        <f t="shared" si="37"/>
        <v>10634930</v>
      </c>
      <c r="Z145" s="35">
        <f t="shared" si="32"/>
        <v>0</v>
      </c>
      <c r="AA145" s="36">
        <f t="shared" si="33"/>
        <v>2.0567028846531779</v>
      </c>
      <c r="AB145" s="42"/>
      <c r="AC145" s="212"/>
    </row>
    <row r="146" spans="1:29" s="38" customFormat="1" ht="153" customHeight="1" x14ac:dyDescent="0.4">
      <c r="A146" s="23"/>
      <c r="B146" s="69"/>
      <c r="C146" s="197" t="s">
        <v>281</v>
      </c>
      <c r="D146" s="25" t="s">
        <v>282</v>
      </c>
      <c r="E146" s="29"/>
      <c r="F146" s="29"/>
      <c r="G146" s="30"/>
      <c r="H146" s="29"/>
      <c r="I146" s="29"/>
      <c r="J146" s="74"/>
      <c r="K146" s="29">
        <v>12</v>
      </c>
      <c r="L146" s="29" t="s">
        <v>110</v>
      </c>
      <c r="M146" s="30">
        <v>185900000</v>
      </c>
      <c r="N146" s="29"/>
      <c r="O146" s="30">
        <f>0+5470025+9745000</f>
        <v>15215025</v>
      </c>
      <c r="P146" s="33"/>
      <c r="Q146" s="34"/>
      <c r="R146" s="59"/>
      <c r="S146" s="34"/>
      <c r="T146" s="33"/>
      <c r="U146" s="30"/>
      <c r="V146" s="36">
        <f t="shared" si="36"/>
        <v>0</v>
      </c>
      <c r="W146" s="34">
        <f t="shared" si="38"/>
        <v>15215025</v>
      </c>
      <c r="X146" s="36">
        <f>H146+V146</f>
        <v>0</v>
      </c>
      <c r="Y146" s="34">
        <f t="shared" si="37"/>
        <v>15215025</v>
      </c>
      <c r="Z146" s="35" t="e">
        <f>(X146/E146)*100</f>
        <v>#DIV/0!</v>
      </c>
      <c r="AA146" s="36" t="e">
        <f t="shared" si="33"/>
        <v>#DIV/0!</v>
      </c>
      <c r="AB146" s="42"/>
      <c r="AC146" s="212"/>
    </row>
    <row r="147" spans="1:29" s="38" customFormat="1" ht="120.75" customHeight="1" x14ac:dyDescent="0.4">
      <c r="A147" s="23"/>
      <c r="B147" s="69"/>
      <c r="C147" s="197" t="s">
        <v>283</v>
      </c>
      <c r="D147" s="25" t="s">
        <v>284</v>
      </c>
      <c r="E147" s="29">
        <v>56</v>
      </c>
      <c r="F147" s="29" t="s">
        <v>110</v>
      </c>
      <c r="G147" s="30">
        <v>191181627</v>
      </c>
      <c r="H147" s="29"/>
      <c r="I147" s="29"/>
      <c r="J147" s="74"/>
      <c r="K147" s="29">
        <v>56</v>
      </c>
      <c r="L147" s="29" t="s">
        <v>110</v>
      </c>
      <c r="M147" s="30">
        <v>72688100</v>
      </c>
      <c r="N147" s="29"/>
      <c r="O147" s="30">
        <f>0+0+2940000</f>
        <v>2940000</v>
      </c>
      <c r="P147" s="33"/>
      <c r="Q147" s="34"/>
      <c r="R147" s="59"/>
      <c r="S147" s="34"/>
      <c r="T147" s="33"/>
      <c r="U147" s="30"/>
      <c r="V147" s="36">
        <f t="shared" si="36"/>
        <v>0</v>
      </c>
      <c r="W147" s="34">
        <f t="shared" si="38"/>
        <v>2940000</v>
      </c>
      <c r="X147" s="36">
        <f t="shared" si="39"/>
        <v>0</v>
      </c>
      <c r="Y147" s="34">
        <f t="shared" si="37"/>
        <v>2940000</v>
      </c>
      <c r="Z147" s="35">
        <f t="shared" si="32"/>
        <v>0</v>
      </c>
      <c r="AA147" s="36">
        <f t="shared" si="33"/>
        <v>1.5378046761784279</v>
      </c>
      <c r="AB147" s="42"/>
      <c r="AC147" s="212"/>
    </row>
    <row r="148" spans="1:29" s="38" customFormat="1" ht="154.5" customHeight="1" x14ac:dyDescent="0.4">
      <c r="A148" s="23"/>
      <c r="B148" s="69"/>
      <c r="C148" s="197" t="s">
        <v>285</v>
      </c>
      <c r="D148" s="25" t="s">
        <v>286</v>
      </c>
      <c r="E148" s="29">
        <v>3</v>
      </c>
      <c r="F148" s="29" t="s">
        <v>110</v>
      </c>
      <c r="G148" s="30">
        <v>160551530</v>
      </c>
      <c r="H148" s="29"/>
      <c r="I148" s="29"/>
      <c r="J148" s="74"/>
      <c r="K148" s="29">
        <v>3</v>
      </c>
      <c r="L148" s="29" t="s">
        <v>110</v>
      </c>
      <c r="M148" s="30">
        <v>455054000</v>
      </c>
      <c r="N148" s="29">
        <v>0</v>
      </c>
      <c r="O148" s="30">
        <f>0+0+0</f>
        <v>0</v>
      </c>
      <c r="P148" s="33"/>
      <c r="Q148" s="34"/>
      <c r="R148" s="59"/>
      <c r="S148" s="34"/>
      <c r="T148" s="33"/>
      <c r="U148" s="30"/>
      <c r="V148" s="36">
        <f t="shared" si="36"/>
        <v>0</v>
      </c>
      <c r="W148" s="34">
        <f t="shared" si="38"/>
        <v>0</v>
      </c>
      <c r="X148" s="36">
        <f t="shared" si="39"/>
        <v>0</v>
      </c>
      <c r="Y148" s="34">
        <f t="shared" si="37"/>
        <v>0</v>
      </c>
      <c r="Z148" s="35">
        <f t="shared" si="32"/>
        <v>0</v>
      </c>
      <c r="AA148" s="36">
        <f t="shared" si="33"/>
        <v>0</v>
      </c>
      <c r="AB148" s="42"/>
      <c r="AC148" s="212"/>
    </row>
    <row r="149" spans="1:29" s="38" customFormat="1" ht="154.5" customHeight="1" thickBot="1" x14ac:dyDescent="0.45">
      <c r="A149" s="23"/>
      <c r="B149" s="69"/>
      <c r="C149" s="197" t="s">
        <v>287</v>
      </c>
      <c r="D149" s="25" t="s">
        <v>288</v>
      </c>
      <c r="E149" s="29">
        <v>3</v>
      </c>
      <c r="F149" s="29" t="s">
        <v>110</v>
      </c>
      <c r="G149" s="30">
        <v>110508374</v>
      </c>
      <c r="H149" s="29"/>
      <c r="I149" s="29"/>
      <c r="J149" s="74"/>
      <c r="K149" s="29">
        <v>3</v>
      </c>
      <c r="L149" s="29" t="s">
        <v>110</v>
      </c>
      <c r="M149" s="30">
        <v>255129500</v>
      </c>
      <c r="N149" s="29">
        <v>0</v>
      </c>
      <c r="O149" s="30">
        <f>0+0+0</f>
        <v>0</v>
      </c>
      <c r="P149" s="33"/>
      <c r="Q149" s="34"/>
      <c r="R149" s="59"/>
      <c r="S149" s="34"/>
      <c r="T149" s="33"/>
      <c r="U149" s="30"/>
      <c r="V149" s="36">
        <f t="shared" si="36"/>
        <v>0</v>
      </c>
      <c r="W149" s="34">
        <f t="shared" si="38"/>
        <v>0</v>
      </c>
      <c r="X149" s="36">
        <f t="shared" si="39"/>
        <v>0</v>
      </c>
      <c r="Y149" s="34">
        <f t="shared" si="37"/>
        <v>0</v>
      </c>
      <c r="Z149" s="35">
        <f t="shared" si="32"/>
        <v>0</v>
      </c>
      <c r="AA149" s="36">
        <f t="shared" si="33"/>
        <v>0</v>
      </c>
      <c r="AB149" s="42"/>
      <c r="AC149" s="220"/>
    </row>
    <row r="150" spans="1:29" s="2" customFormat="1" ht="39.75" customHeight="1" x14ac:dyDescent="0.4">
      <c r="A150" s="23"/>
      <c r="B150" s="69"/>
      <c r="C150" s="25"/>
      <c r="D150" s="25"/>
      <c r="E150" s="29"/>
      <c r="F150" s="29"/>
      <c r="G150" s="30"/>
      <c r="H150" s="76"/>
      <c r="I150" s="76"/>
      <c r="J150" s="76"/>
      <c r="K150" s="29"/>
      <c r="L150" s="76"/>
      <c r="M150" s="30"/>
      <c r="N150" s="76"/>
      <c r="O150" s="30"/>
      <c r="P150" s="32"/>
      <c r="Q150" s="32"/>
      <c r="R150" s="32"/>
      <c r="S150" s="32"/>
      <c r="T150" s="33"/>
      <c r="U150" s="32"/>
      <c r="V150" s="33"/>
      <c r="W150" s="34"/>
      <c r="X150" s="33"/>
      <c r="Y150" s="34"/>
      <c r="Z150" s="193" t="e">
        <f>(Z113+Z114+Z115+Z116+Z117+Z119+Z120+Z121+Z122+Z124+Z126+Z128+Z129+Z130+Z131+Z132+Z133+Z134+Z135+Z137+Z138+Z139+Z140+Z142+Z143+Z145+Z146+Z147+Z148+Z149)/5</f>
        <v>#DIV/0!</v>
      </c>
      <c r="AA150" s="193" t="e">
        <f>(AA113+AA114+AA115+AA116+AA117+AA119+AA120+AA121+AA122+AA124+AA126+AA128+AA129+AA130+AA131+AA132+AA133+AA134+AA135+AA137+AA138+AA139+AA140+AA142+AA143+AA145+AA146+AA147+AA148+AA149)/5</f>
        <v>#DIV/0!</v>
      </c>
      <c r="AB150" s="37"/>
    </row>
    <row r="151" spans="1:29" s="2" customFormat="1" ht="90" customHeight="1" x14ac:dyDescent="0.4">
      <c r="A151" s="268" t="s">
        <v>194</v>
      </c>
      <c r="B151" s="269"/>
      <c r="C151" s="269"/>
      <c r="D151" s="269"/>
      <c r="E151" s="269"/>
      <c r="F151" s="269"/>
      <c r="G151" s="269"/>
      <c r="H151" s="269"/>
      <c r="I151" s="269"/>
      <c r="J151" s="269"/>
      <c r="K151" s="269"/>
      <c r="L151" s="269"/>
      <c r="M151" s="122">
        <f>M10+M19+M25+M33+M44+M52+M59+M74+M92+M110</f>
        <v>21978329514</v>
      </c>
      <c r="N151" s="76"/>
      <c r="O151" s="34">
        <f>O10+O19+O25+O33+O44+O52+O59+O74+O92+O110</f>
        <v>128351379</v>
      </c>
      <c r="P151" s="32"/>
      <c r="Q151" s="34">
        <f>Q10+Q19+Q25+Q33+Q44+Q52+Q59+Q74+Q92+Q110</f>
        <v>0</v>
      </c>
      <c r="R151" s="32"/>
      <c r="S151" s="34">
        <f>S10+S19+S24+S33+S44+S52+S58+S73+S91+S110</f>
        <v>0</v>
      </c>
      <c r="T151" s="33"/>
      <c r="U151" s="34">
        <f>U10+U19+U24+U33+U44+U52+U58+U73+U91+U110</f>
        <v>0</v>
      </c>
      <c r="V151" s="33"/>
      <c r="W151" s="123">
        <f>W10+W19+W25+W33+W44+W52+W59+W73+W92+W110</f>
        <v>110771379</v>
      </c>
      <c r="X151" s="33"/>
      <c r="Y151" s="123">
        <f>Y9+Y19+Y25+Y33+Y44+Y52+Y59+Y73+Y92+Y110</f>
        <v>110771379</v>
      </c>
      <c r="Z151" s="124"/>
      <c r="AA151" s="125"/>
      <c r="AB151" s="126"/>
    </row>
    <row r="152" spans="1:29" s="2" customFormat="1" ht="121.5" customHeight="1" x14ac:dyDescent="0.4">
      <c r="A152" s="268" t="s">
        <v>195</v>
      </c>
      <c r="B152" s="269"/>
      <c r="C152" s="269"/>
      <c r="D152" s="269"/>
      <c r="E152" s="269"/>
      <c r="F152" s="269"/>
      <c r="G152" s="269"/>
      <c r="H152" s="269"/>
      <c r="I152" s="269"/>
      <c r="J152" s="269"/>
      <c r="K152" s="269"/>
      <c r="L152" s="269"/>
      <c r="M152" s="270"/>
      <c r="N152" s="270"/>
      <c r="O152" s="270"/>
      <c r="P152" s="270"/>
      <c r="Q152" s="270"/>
      <c r="R152" s="270"/>
      <c r="S152" s="270"/>
      <c r="T152" s="270"/>
      <c r="U152" s="270"/>
      <c r="V152" s="270"/>
      <c r="W152" s="270"/>
      <c r="X152" s="270"/>
      <c r="Y152" s="270"/>
      <c r="Z152" s="60" t="e">
        <f>(Z17+Z23+Z31+Z42+Z49+Z57+Z72+Z83+Z90+Z108+Z150)/11</f>
        <v>#DIV/0!</v>
      </c>
      <c r="AA152" s="60" t="e">
        <f>(AA17+AA23+AA31+AA42+AA50+AA57+AA72+AA83+AA90+AA108+#REF!)/11</f>
        <v>#DIV/0!</v>
      </c>
      <c r="AB152" s="126"/>
    </row>
    <row r="153" spans="1:29" s="2" customFormat="1" ht="96.75" customHeight="1" x14ac:dyDescent="0.4">
      <c r="A153" s="268" t="s">
        <v>196</v>
      </c>
      <c r="B153" s="269"/>
      <c r="C153" s="269"/>
      <c r="D153" s="269"/>
      <c r="E153" s="269"/>
      <c r="F153" s="269"/>
      <c r="G153" s="269"/>
      <c r="H153" s="269"/>
      <c r="I153" s="269"/>
      <c r="J153" s="269"/>
      <c r="K153" s="269"/>
      <c r="L153" s="269"/>
      <c r="M153" s="270"/>
      <c r="N153" s="270"/>
      <c r="O153" s="270"/>
      <c r="P153" s="270"/>
      <c r="Q153" s="270"/>
      <c r="R153" s="270"/>
      <c r="S153" s="270"/>
      <c r="T153" s="270"/>
      <c r="U153" s="270"/>
      <c r="V153" s="270"/>
      <c r="W153" s="270"/>
      <c r="X153" s="270"/>
      <c r="Y153" s="270"/>
      <c r="Z153" s="127" t="e">
        <f>IF(Z152&lt;=50,"Sangat Rendah",IF(Z152&lt;=65,"Rendah",IF(Z152&lt;=75,"Sedang",IF(Z152&lt;=90,"Tinggi","Sangat Tinggi"))))</f>
        <v>#DIV/0!</v>
      </c>
      <c r="AA153" s="127" t="e">
        <f>IF(AA152&lt;=50,"Sangat Rendah",IF(AA152&lt;=65,"Rendah",IF(AA152&lt;=75,"Sedang",IF(AA152&lt;=90,"Tinggi","Sangat Tinggi"))))</f>
        <v>#DIV/0!</v>
      </c>
      <c r="AB153" s="126"/>
    </row>
    <row r="154" spans="1:29" ht="27" thickBot="1" x14ac:dyDescent="0.4">
      <c r="A154" s="128"/>
      <c r="B154" s="129"/>
      <c r="C154" s="129"/>
      <c r="D154" s="129"/>
      <c r="E154" s="129"/>
      <c r="F154" s="130"/>
      <c r="G154" s="129"/>
      <c r="H154" s="129"/>
      <c r="I154" s="129"/>
      <c r="J154" s="129"/>
      <c r="K154" s="129"/>
      <c r="L154" s="131"/>
      <c r="M154" s="129"/>
      <c r="N154" s="129"/>
      <c r="O154" s="132"/>
      <c r="P154" s="129"/>
      <c r="Q154" s="133"/>
      <c r="R154" s="129"/>
      <c r="S154" s="129"/>
      <c r="T154" s="134"/>
      <c r="U154" s="129"/>
      <c r="V154" s="134"/>
      <c r="W154" s="129"/>
      <c r="X154" s="222"/>
      <c r="Y154" s="129"/>
      <c r="Z154" s="129"/>
      <c r="AA154" s="129"/>
      <c r="AB154" s="135"/>
    </row>
    <row r="155" spans="1:29" ht="26.25" x14ac:dyDescent="0.35">
      <c r="H155" s="1"/>
      <c r="I155" s="1"/>
      <c r="J155" s="1"/>
      <c r="L155" s="136"/>
      <c r="N155" s="1"/>
      <c r="O155" s="137"/>
      <c r="P155" s="1"/>
      <c r="Q155" s="138"/>
      <c r="R155" s="1"/>
      <c r="S155" s="1"/>
      <c r="T155" s="5"/>
      <c r="U155" s="1"/>
      <c r="V155" s="5"/>
      <c r="W155" s="1"/>
      <c r="X155" s="223"/>
    </row>
    <row r="156" spans="1:29" ht="44.25" customHeight="1" x14ac:dyDescent="0.4">
      <c r="E156" s="139"/>
      <c r="F156" s="140"/>
      <c r="G156" s="141" t="s">
        <v>197</v>
      </c>
      <c r="H156" s="271" t="s">
        <v>198</v>
      </c>
      <c r="I156" s="271"/>
      <c r="J156" s="271"/>
      <c r="K156" s="271"/>
      <c r="L156" s="271"/>
      <c r="M156" s="271"/>
      <c r="N156" s="1"/>
      <c r="O156" s="137"/>
      <c r="P156" s="1"/>
      <c r="Q156" s="138"/>
      <c r="R156" s="1"/>
      <c r="S156" s="1"/>
      <c r="T156" s="5"/>
      <c r="U156" s="1"/>
      <c r="V156" s="5"/>
      <c r="W156" s="142" t="s">
        <v>199</v>
      </c>
      <c r="X156" s="223"/>
    </row>
    <row r="157" spans="1:29" ht="44.25" customHeight="1" x14ac:dyDescent="0.4">
      <c r="E157" s="143"/>
      <c r="F157" s="144"/>
      <c r="G157" s="141" t="s">
        <v>197</v>
      </c>
      <c r="H157" s="271" t="s">
        <v>200</v>
      </c>
      <c r="I157" s="271"/>
      <c r="J157" s="271"/>
      <c r="K157" s="271"/>
      <c r="L157" s="271"/>
      <c r="M157" s="271"/>
      <c r="N157" s="1"/>
      <c r="O157" s="137"/>
      <c r="P157" s="1"/>
      <c r="Q157" s="138"/>
      <c r="R157" s="1"/>
      <c r="S157" s="1"/>
      <c r="T157" s="5"/>
      <c r="U157" s="1"/>
      <c r="V157" s="5"/>
      <c r="W157" s="142" t="s">
        <v>208</v>
      </c>
      <c r="X157" s="223"/>
    </row>
    <row r="158" spans="1:29" ht="44.25" customHeight="1" x14ac:dyDescent="0.35">
      <c r="E158" s="145"/>
      <c r="F158" s="146"/>
      <c r="G158" s="141" t="s">
        <v>197</v>
      </c>
      <c r="H158" s="264" t="s">
        <v>201</v>
      </c>
      <c r="I158" s="264"/>
      <c r="J158" s="264"/>
      <c r="K158" s="264"/>
      <c r="L158" s="264"/>
      <c r="M158" s="264"/>
      <c r="N158" s="1"/>
      <c r="O158" s="137"/>
      <c r="P158" s="1"/>
      <c r="Q158" s="138"/>
      <c r="R158" s="1"/>
      <c r="S158" s="1"/>
      <c r="T158" s="5"/>
      <c r="U158" s="1"/>
      <c r="V158" s="5"/>
      <c r="W158" s="265" t="s">
        <v>202</v>
      </c>
      <c r="X158" s="265"/>
      <c r="Y158" s="265"/>
      <c r="Z158" s="265"/>
    </row>
    <row r="159" spans="1:29" ht="18" customHeight="1" x14ac:dyDescent="0.35">
      <c r="G159" s="147"/>
      <c r="H159" s="148"/>
      <c r="I159" s="148"/>
      <c r="J159" s="148"/>
      <c r="K159" s="148"/>
      <c r="L159" s="149"/>
      <c r="M159" s="3"/>
      <c r="N159" s="1"/>
      <c r="O159" s="137"/>
      <c r="P159" s="1"/>
      <c r="Q159" s="138"/>
      <c r="R159" s="1"/>
      <c r="S159" s="1"/>
      <c r="T159" s="5"/>
      <c r="U159" s="1"/>
      <c r="V159" s="5"/>
      <c r="W159" s="265"/>
      <c r="X159" s="265"/>
      <c r="Y159" s="265"/>
      <c r="Z159" s="265"/>
    </row>
    <row r="160" spans="1:29" ht="44.25" customHeight="1" x14ac:dyDescent="0.35">
      <c r="H160" s="1"/>
      <c r="I160" s="1"/>
      <c r="J160" s="1"/>
      <c r="L160" s="136"/>
      <c r="N160" s="1"/>
      <c r="O160" s="137"/>
      <c r="P160" s="1"/>
      <c r="Q160" s="138"/>
      <c r="R160" s="1"/>
      <c r="S160" s="1"/>
      <c r="T160" s="5"/>
      <c r="U160" s="1"/>
      <c r="V160" s="5"/>
      <c r="W160" s="1"/>
      <c r="X160" s="223"/>
    </row>
    <row r="161" spans="8:26" ht="27" customHeight="1" x14ac:dyDescent="0.35">
      <c r="H161" s="1"/>
      <c r="I161" s="1"/>
      <c r="J161" s="1"/>
      <c r="L161" s="136"/>
      <c r="N161" s="1"/>
      <c r="O161" s="137"/>
      <c r="P161" s="1"/>
      <c r="Q161" s="138"/>
      <c r="R161" s="1"/>
      <c r="S161" s="1"/>
      <c r="T161" s="5"/>
      <c r="U161" s="1"/>
      <c r="V161" s="5"/>
      <c r="W161" s="1"/>
      <c r="X161" s="223"/>
    </row>
    <row r="162" spans="8:26" ht="44.25" customHeight="1" x14ac:dyDescent="0.35">
      <c r="H162" s="150"/>
      <c r="I162" s="1"/>
      <c r="J162" s="1"/>
      <c r="L162" s="136"/>
      <c r="N162" s="1"/>
      <c r="O162" s="137"/>
      <c r="P162" s="1"/>
      <c r="Q162" s="138"/>
      <c r="R162" s="1"/>
      <c r="S162" s="1"/>
      <c r="T162" s="5"/>
      <c r="U162" s="1"/>
      <c r="V162" s="5"/>
      <c r="W162" s="1"/>
      <c r="X162" s="223"/>
    </row>
    <row r="163" spans="8:26" ht="36.75" customHeight="1" x14ac:dyDescent="0.4">
      <c r="H163" s="151"/>
      <c r="I163" s="151"/>
      <c r="J163" s="151"/>
      <c r="K163" s="151"/>
      <c r="L163" s="136"/>
      <c r="N163" s="1"/>
      <c r="O163" s="137"/>
      <c r="P163" s="1"/>
      <c r="Q163" s="1"/>
      <c r="R163" s="1"/>
      <c r="S163" s="1"/>
      <c r="T163" s="5"/>
      <c r="U163" s="1"/>
      <c r="V163" s="5"/>
      <c r="W163" s="266" t="s">
        <v>203</v>
      </c>
      <c r="X163" s="266"/>
      <c r="Y163" s="266"/>
      <c r="Z163" s="266"/>
    </row>
    <row r="164" spans="8:26" ht="44.25" customHeight="1" x14ac:dyDescent="0.35">
      <c r="H164" s="152"/>
      <c r="I164" s="152"/>
      <c r="J164" s="152"/>
      <c r="K164" s="152"/>
      <c r="L164" s="136"/>
      <c r="N164" s="1"/>
      <c r="O164" s="137"/>
      <c r="P164" s="1"/>
      <c r="Q164" s="1"/>
      <c r="R164" s="1"/>
      <c r="S164" s="1"/>
      <c r="T164" s="5"/>
      <c r="U164" s="1"/>
      <c r="V164" s="5"/>
      <c r="W164" s="267" t="s">
        <v>204</v>
      </c>
      <c r="X164" s="267"/>
      <c r="Y164" s="267"/>
      <c r="Z164" s="267"/>
    </row>
  </sheetData>
  <mergeCells count="51">
    <mergeCell ref="AC5:AC6"/>
    <mergeCell ref="AC7:AC8"/>
    <mergeCell ref="C9:C10"/>
    <mergeCell ref="B9:B10"/>
    <mergeCell ref="A1:AB1"/>
    <mergeCell ref="A2:AB2"/>
    <mergeCell ref="A3:AB3"/>
    <mergeCell ref="A5:A6"/>
    <mergeCell ref="B5:B6"/>
    <mergeCell ref="C5:C6"/>
    <mergeCell ref="D5:D6"/>
    <mergeCell ref="E5:G6"/>
    <mergeCell ref="H5:J6"/>
    <mergeCell ref="K5:M6"/>
    <mergeCell ref="N5:U5"/>
    <mergeCell ref="V5:W6"/>
    <mergeCell ref="X5:Y6"/>
    <mergeCell ref="Z5:AA6"/>
    <mergeCell ref="AB5:AB6"/>
    <mergeCell ref="N6:O6"/>
    <mergeCell ref="P6:Q6"/>
    <mergeCell ref="R6:S6"/>
    <mergeCell ref="T6:U6"/>
    <mergeCell ref="A7:A8"/>
    <mergeCell ref="B7:B8"/>
    <mergeCell ref="C7:C8"/>
    <mergeCell ref="D7:D8"/>
    <mergeCell ref="E7:G7"/>
    <mergeCell ref="X7:Y7"/>
    <mergeCell ref="Z7:AA7"/>
    <mergeCell ref="AB7:AB8"/>
    <mergeCell ref="E8:F8"/>
    <mergeCell ref="H8:I8"/>
    <mergeCell ref="K8:L8"/>
    <mergeCell ref="K7:M7"/>
    <mergeCell ref="N7:O7"/>
    <mergeCell ref="P7:Q7"/>
    <mergeCell ref="R7:S7"/>
    <mergeCell ref="T7:U7"/>
    <mergeCell ref="V7:W7"/>
    <mergeCell ref="H7:J7"/>
    <mergeCell ref="H158:M158"/>
    <mergeCell ref="W158:Z159"/>
    <mergeCell ref="W163:Z163"/>
    <mergeCell ref="W164:Z164"/>
    <mergeCell ref="A151:L151"/>
    <mergeCell ref="A152:L152"/>
    <mergeCell ref="M152:Y153"/>
    <mergeCell ref="A153:L153"/>
    <mergeCell ref="H156:M156"/>
    <mergeCell ref="H157:M157"/>
  </mergeCells>
  <pageMargins left="0.23622047244094491" right="0.23622047244094491" top="0.74803149606299213" bottom="0.74803149606299213" header="0.31496062992125984" footer="0.31496062992125984"/>
  <pageSetup paperSize="5" scale="18" fitToHeight="0" orientation="landscape" horizontalDpi="4294967293" r:id="rId1"/>
  <rowBreaks count="11" manualBreakCount="11">
    <brk id="17" max="16383" man="1"/>
    <brk id="25" max="28" man="1"/>
    <brk id="39" max="16383" man="1"/>
    <brk id="52" max="16383" man="1"/>
    <brk id="65" max="16383" man="1"/>
    <brk id="77" max="16383" man="1"/>
    <brk id="90" max="16383" man="1"/>
    <brk id="96" max="16383" man="1"/>
    <brk id="104" max="16383" man="1"/>
    <brk id="121" max="28" man="1"/>
    <brk id="133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65"/>
  <sheetViews>
    <sheetView tabSelected="1" topLeftCell="M5" zoomScale="40" zoomScaleNormal="40" zoomScaleSheetLayoutView="31" workbookViewId="0">
      <pane ySplit="4" topLeftCell="A153" activePane="bottomLeft" state="frozen"/>
      <selection activeCell="C5" sqref="C5"/>
      <selection pane="bottomLeft" activeCell="T158" sqref="T158"/>
    </sheetView>
  </sheetViews>
  <sheetFormatPr defaultColWidth="9.140625" defaultRowHeight="25.5" x14ac:dyDescent="0.35"/>
  <cols>
    <col min="1" max="1" width="7.42578125" style="1" customWidth="1"/>
    <col min="2" max="2" width="39.28515625" style="1" customWidth="1"/>
    <col min="3" max="3" width="61.85546875" style="1" customWidth="1"/>
    <col min="4" max="4" width="56.42578125" style="1" customWidth="1"/>
    <col min="5" max="5" width="21" style="1" customWidth="1"/>
    <col min="6" max="6" width="20.7109375" style="3" customWidth="1"/>
    <col min="7" max="7" width="45" style="1" customWidth="1"/>
    <col min="8" max="8" width="16.42578125" style="139" customWidth="1"/>
    <col min="9" max="9" width="18.85546875" style="139" customWidth="1"/>
    <col min="10" max="10" width="44.28515625" style="139" customWidth="1"/>
    <col min="11" max="11" width="26.42578125" style="1" customWidth="1"/>
    <col min="12" max="12" width="30.7109375" style="1" customWidth="1"/>
    <col min="13" max="13" width="41.140625" style="1" customWidth="1"/>
    <col min="14" max="14" width="19.85546875" style="153" customWidth="1"/>
    <col min="15" max="15" width="40.42578125" style="154" customWidth="1"/>
    <col min="16" max="16" width="17.28515625" style="153" customWidth="1"/>
    <col min="17" max="17" width="43.42578125" style="153" customWidth="1"/>
    <col min="18" max="18" width="16.5703125" style="153" customWidth="1"/>
    <col min="19" max="19" width="38.140625" style="153" customWidth="1"/>
    <col min="20" max="20" width="20.42578125" style="195" customWidth="1"/>
    <col min="21" max="21" width="37.7109375" style="153" customWidth="1"/>
    <col min="22" max="22" width="21.85546875" style="155" customWidth="1"/>
    <col min="23" max="23" width="42.42578125" style="156" customWidth="1"/>
    <col min="24" max="24" width="17.5703125" style="5" customWidth="1"/>
    <col min="25" max="25" width="42.85546875" style="1" customWidth="1"/>
    <col min="26" max="26" width="32.28515625" style="1" customWidth="1"/>
    <col min="27" max="27" width="39.28515625" style="1" customWidth="1"/>
    <col min="28" max="28" width="13.5703125" style="1" customWidth="1"/>
    <col min="29" max="29" width="104.5703125" style="225" customWidth="1"/>
    <col min="30" max="16384" width="9.140625" style="1"/>
  </cols>
  <sheetData>
    <row r="1" spans="1:29" s="157" customFormat="1" ht="35.25" x14ac:dyDescent="0.5">
      <c r="A1" s="288" t="s">
        <v>210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24"/>
    </row>
    <row r="2" spans="1:29" s="157" customFormat="1" ht="35.25" x14ac:dyDescent="0.5">
      <c r="A2" s="288" t="s">
        <v>209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24"/>
    </row>
    <row r="3" spans="1:29" s="157" customFormat="1" ht="35.25" x14ac:dyDescent="0.5">
      <c r="A3" s="288" t="s">
        <v>211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24"/>
    </row>
    <row r="4" spans="1:29" ht="26.25" thickBot="1" x14ac:dyDescent="0.4">
      <c r="H4" s="1"/>
      <c r="I4" s="1"/>
      <c r="J4" s="1"/>
      <c r="N4" s="1"/>
      <c r="O4" s="1"/>
      <c r="P4" s="1"/>
      <c r="Q4" s="4"/>
      <c r="R4" s="1"/>
      <c r="S4" s="1"/>
      <c r="T4" s="5"/>
      <c r="U4" s="1"/>
      <c r="V4" s="5"/>
      <c r="W4" s="1"/>
    </row>
    <row r="5" spans="1:29" s="6" customFormat="1" ht="78" customHeight="1" x14ac:dyDescent="0.25">
      <c r="A5" s="289" t="s">
        <v>0</v>
      </c>
      <c r="B5" s="279" t="s">
        <v>1</v>
      </c>
      <c r="C5" s="279" t="s">
        <v>2</v>
      </c>
      <c r="D5" s="279" t="s">
        <v>3</v>
      </c>
      <c r="E5" s="279" t="s">
        <v>4</v>
      </c>
      <c r="F5" s="279"/>
      <c r="G5" s="279"/>
      <c r="H5" s="279" t="s">
        <v>5</v>
      </c>
      <c r="I5" s="279"/>
      <c r="J5" s="279"/>
      <c r="K5" s="279" t="s">
        <v>212</v>
      </c>
      <c r="L5" s="279"/>
      <c r="M5" s="279"/>
      <c r="N5" s="291" t="s">
        <v>6</v>
      </c>
      <c r="O5" s="291"/>
      <c r="P5" s="291"/>
      <c r="Q5" s="291"/>
      <c r="R5" s="291"/>
      <c r="S5" s="291"/>
      <c r="T5" s="291"/>
      <c r="U5" s="291"/>
      <c r="V5" s="279" t="s">
        <v>213</v>
      </c>
      <c r="W5" s="279"/>
      <c r="X5" s="279" t="s">
        <v>7</v>
      </c>
      <c r="Y5" s="279"/>
      <c r="Z5" s="279" t="s">
        <v>8</v>
      </c>
      <c r="AA5" s="279"/>
      <c r="AB5" s="281" t="s">
        <v>9</v>
      </c>
      <c r="AC5" s="283" t="s">
        <v>293</v>
      </c>
    </row>
    <row r="6" spans="1:29" s="6" customFormat="1" ht="53.25" customHeight="1" x14ac:dyDescent="0.25">
      <c r="A6" s="29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2" t="s">
        <v>10</v>
      </c>
      <c r="O6" s="282"/>
      <c r="P6" s="282" t="s">
        <v>11</v>
      </c>
      <c r="Q6" s="282"/>
      <c r="R6" s="282" t="s">
        <v>12</v>
      </c>
      <c r="S6" s="282"/>
      <c r="T6" s="282" t="s">
        <v>13</v>
      </c>
      <c r="U6" s="282"/>
      <c r="V6" s="280"/>
      <c r="W6" s="280"/>
      <c r="X6" s="280"/>
      <c r="Y6" s="280"/>
      <c r="Z6" s="280"/>
      <c r="AA6" s="280"/>
      <c r="AB6" s="273"/>
      <c r="AC6" s="284"/>
    </row>
    <row r="7" spans="1:29" s="6" customFormat="1" ht="22.15" customHeight="1" x14ac:dyDescent="0.25">
      <c r="A7" s="277">
        <v>1</v>
      </c>
      <c r="B7" s="272">
        <v>2</v>
      </c>
      <c r="C7" s="272">
        <v>3</v>
      </c>
      <c r="D7" s="272">
        <v>4</v>
      </c>
      <c r="E7" s="272">
        <v>5</v>
      </c>
      <c r="F7" s="272"/>
      <c r="G7" s="272"/>
      <c r="H7" s="272">
        <v>6</v>
      </c>
      <c r="I7" s="272"/>
      <c r="J7" s="272"/>
      <c r="K7" s="272">
        <v>7</v>
      </c>
      <c r="L7" s="272"/>
      <c r="M7" s="272"/>
      <c r="N7" s="276">
        <v>8</v>
      </c>
      <c r="O7" s="276"/>
      <c r="P7" s="276">
        <v>9</v>
      </c>
      <c r="Q7" s="276"/>
      <c r="R7" s="276">
        <v>10</v>
      </c>
      <c r="S7" s="276"/>
      <c r="T7" s="276">
        <v>11</v>
      </c>
      <c r="U7" s="276"/>
      <c r="V7" s="272">
        <v>12</v>
      </c>
      <c r="W7" s="272"/>
      <c r="X7" s="272" t="s">
        <v>14</v>
      </c>
      <c r="Y7" s="272"/>
      <c r="Z7" s="272" t="s">
        <v>15</v>
      </c>
      <c r="AA7" s="272"/>
      <c r="AB7" s="273">
        <v>15</v>
      </c>
      <c r="AC7" s="292"/>
    </row>
    <row r="8" spans="1:29" s="2" customFormat="1" ht="26.25" x14ac:dyDescent="0.4">
      <c r="A8" s="278"/>
      <c r="B8" s="272"/>
      <c r="C8" s="272"/>
      <c r="D8" s="272"/>
      <c r="E8" s="274" t="s">
        <v>16</v>
      </c>
      <c r="F8" s="275"/>
      <c r="G8" s="7" t="s">
        <v>17</v>
      </c>
      <c r="H8" s="274" t="s">
        <v>16</v>
      </c>
      <c r="I8" s="275"/>
      <c r="J8" s="7" t="s">
        <v>17</v>
      </c>
      <c r="K8" s="274" t="s">
        <v>16</v>
      </c>
      <c r="L8" s="275"/>
      <c r="M8" s="7" t="s">
        <v>17</v>
      </c>
      <c r="N8" s="8" t="s">
        <v>16</v>
      </c>
      <c r="O8" s="8" t="s">
        <v>17</v>
      </c>
      <c r="P8" s="8" t="s">
        <v>16</v>
      </c>
      <c r="Q8" s="8" t="s">
        <v>17</v>
      </c>
      <c r="R8" s="8" t="s">
        <v>16</v>
      </c>
      <c r="S8" s="8" t="s">
        <v>17</v>
      </c>
      <c r="T8" s="8" t="s">
        <v>16</v>
      </c>
      <c r="U8" s="8" t="s">
        <v>17</v>
      </c>
      <c r="V8" s="7" t="s">
        <v>16</v>
      </c>
      <c r="W8" s="7" t="s">
        <v>17</v>
      </c>
      <c r="X8" s="7" t="s">
        <v>16</v>
      </c>
      <c r="Y8" s="7" t="s">
        <v>17</v>
      </c>
      <c r="Z8" s="7" t="s">
        <v>16</v>
      </c>
      <c r="AA8" s="7" t="s">
        <v>17</v>
      </c>
      <c r="AB8" s="273"/>
      <c r="AC8" s="293"/>
    </row>
    <row r="9" spans="1:29" s="9" customFormat="1" ht="187.5" customHeight="1" x14ac:dyDescent="0.4">
      <c r="A9" s="158">
        <v>1</v>
      </c>
      <c r="B9" s="286" t="s">
        <v>18</v>
      </c>
      <c r="C9" s="286" t="s">
        <v>292</v>
      </c>
      <c r="D9" s="159" t="s">
        <v>19</v>
      </c>
      <c r="E9" s="160">
        <v>4.87</v>
      </c>
      <c r="F9" s="161" t="s">
        <v>20</v>
      </c>
      <c r="G9" s="162">
        <v>361894900</v>
      </c>
      <c r="H9" s="160">
        <v>4.87</v>
      </c>
      <c r="I9" s="160" t="s">
        <v>20</v>
      </c>
      <c r="J9" s="163">
        <v>338807400</v>
      </c>
      <c r="K9" s="160"/>
      <c r="L9" s="161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0"/>
      <c r="Y9" s="162"/>
      <c r="Z9" s="165"/>
      <c r="AA9" s="166"/>
      <c r="AB9" s="167"/>
      <c r="AC9" s="226"/>
    </row>
    <row r="10" spans="1:29" s="9" customFormat="1" ht="238.5" customHeight="1" x14ac:dyDescent="0.4">
      <c r="A10" s="168"/>
      <c r="B10" s="287"/>
      <c r="C10" s="287"/>
      <c r="D10" s="169" t="s">
        <v>21</v>
      </c>
      <c r="E10" s="170">
        <v>42.17</v>
      </c>
      <c r="F10" s="171" t="s">
        <v>20</v>
      </c>
      <c r="G10" s="172">
        <v>1767239500</v>
      </c>
      <c r="H10" s="170"/>
      <c r="I10" s="170"/>
      <c r="J10" s="173"/>
      <c r="K10" s="170">
        <v>30.57</v>
      </c>
      <c r="L10" s="171" t="s">
        <v>20</v>
      </c>
      <c r="M10" s="172">
        <f>M12</f>
        <v>442592300</v>
      </c>
      <c r="N10" s="170"/>
      <c r="O10" s="172">
        <f>O12</f>
        <v>0</v>
      </c>
      <c r="P10" s="170">
        <v>15.28</v>
      </c>
      <c r="Q10" s="172">
        <f>Q12</f>
        <v>327875800</v>
      </c>
      <c r="R10" s="174">
        <v>0</v>
      </c>
      <c r="S10" s="172">
        <f>S12</f>
        <v>0</v>
      </c>
      <c r="T10" s="174">
        <v>0</v>
      </c>
      <c r="U10" s="172">
        <f>U12</f>
        <v>0</v>
      </c>
      <c r="V10" s="174">
        <f>N10+P10+R10+T10</f>
        <v>15.28</v>
      </c>
      <c r="W10" s="172">
        <f>O10+Q10+S10+U10</f>
        <v>327875800</v>
      </c>
      <c r="X10" s="174">
        <f>H10+V10</f>
        <v>15.28</v>
      </c>
      <c r="Y10" s="172">
        <f>J10+W10</f>
        <v>327875800</v>
      </c>
      <c r="Z10" s="174">
        <f>(X10/E10)*100</f>
        <v>36.234289779464071</v>
      </c>
      <c r="AA10" s="174">
        <f>(Y10/G10)*100</f>
        <v>18.552991827083993</v>
      </c>
      <c r="AB10" s="176"/>
      <c r="AC10" s="227"/>
    </row>
    <row r="11" spans="1:29" s="20" customFormat="1" ht="302.25" customHeight="1" x14ac:dyDescent="0.4">
      <c r="A11" s="10"/>
      <c r="B11" s="11"/>
      <c r="C11" s="12" t="s">
        <v>22</v>
      </c>
      <c r="D11" s="12" t="s">
        <v>299</v>
      </c>
      <c r="E11" s="13">
        <v>9.74</v>
      </c>
      <c r="F11" s="14" t="s">
        <v>20</v>
      </c>
      <c r="G11" s="15">
        <v>361894900</v>
      </c>
      <c r="H11" s="13">
        <v>9.74</v>
      </c>
      <c r="I11" s="13" t="s">
        <v>20</v>
      </c>
      <c r="J11" s="16">
        <v>338807400</v>
      </c>
      <c r="K11" s="17"/>
      <c r="L11" s="14"/>
      <c r="M11" s="15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9"/>
      <c r="AC11" s="228"/>
    </row>
    <row r="12" spans="1:29" s="20" customFormat="1" ht="255.75" customHeight="1" x14ac:dyDescent="0.4">
      <c r="A12" s="10"/>
      <c r="B12" s="11"/>
      <c r="C12" s="12"/>
      <c r="D12" s="12" t="s">
        <v>24</v>
      </c>
      <c r="E12" s="21">
        <v>27.5</v>
      </c>
      <c r="F12" s="13" t="s">
        <v>20</v>
      </c>
      <c r="G12" s="16">
        <v>1767239500</v>
      </c>
      <c r="H12" s="13"/>
      <c r="I12" s="13"/>
      <c r="J12" s="16"/>
      <c r="K12" s="13">
        <v>27.54</v>
      </c>
      <c r="L12" s="14" t="s">
        <v>20</v>
      </c>
      <c r="M12" s="15">
        <f>M16</f>
        <v>442592300</v>
      </c>
      <c r="N12" s="13"/>
      <c r="O12" s="15">
        <f>O16</f>
        <v>0</v>
      </c>
      <c r="P12" s="260">
        <v>13.77</v>
      </c>
      <c r="Q12" s="15">
        <f t="shared" ref="Q12" si="0">Q16</f>
        <v>327875800</v>
      </c>
      <c r="R12" s="13">
        <v>0</v>
      </c>
      <c r="S12" s="15">
        <f>S15</f>
        <v>0</v>
      </c>
      <c r="T12" s="21">
        <v>0</v>
      </c>
      <c r="U12" s="15">
        <f>U13+U14+U15</f>
        <v>0</v>
      </c>
      <c r="V12" s="21">
        <f>N12+P12+R12+T12</f>
        <v>13.77</v>
      </c>
      <c r="W12" s="15">
        <f>O12+Q12+S12+U12</f>
        <v>327875800</v>
      </c>
      <c r="X12" s="21">
        <f>H12+V12</f>
        <v>13.77</v>
      </c>
      <c r="Y12" s="15">
        <f>J12+W12</f>
        <v>327875800</v>
      </c>
      <c r="Z12" s="21">
        <f>(X12/E12)*100</f>
        <v>50.072727272727271</v>
      </c>
      <c r="AA12" s="21">
        <f>(Y12/G12)*100</f>
        <v>18.552991827083993</v>
      </c>
      <c r="AB12" s="22"/>
      <c r="AC12" s="228"/>
    </row>
    <row r="13" spans="1:29" s="38" customFormat="1" ht="233.25" customHeight="1" x14ac:dyDescent="0.4">
      <c r="A13" s="23"/>
      <c r="B13" s="24"/>
      <c r="C13" s="25" t="s">
        <v>25</v>
      </c>
      <c r="D13" s="25" t="s">
        <v>26</v>
      </c>
      <c r="E13" s="26">
        <v>3</v>
      </c>
      <c r="F13" s="27" t="s">
        <v>27</v>
      </c>
      <c r="G13" s="28">
        <v>22000000</v>
      </c>
      <c r="H13" s="29">
        <v>3</v>
      </c>
      <c r="I13" s="25" t="s">
        <v>27</v>
      </c>
      <c r="J13" s="30">
        <v>22000000</v>
      </c>
      <c r="K13" s="25"/>
      <c r="L13" s="31"/>
      <c r="M13" s="30"/>
      <c r="N13" s="29"/>
      <c r="O13" s="30"/>
      <c r="P13" s="29"/>
      <c r="Q13" s="30"/>
      <c r="R13" s="32"/>
      <c r="S13" s="32"/>
      <c r="T13" s="33"/>
      <c r="U13" s="32"/>
      <c r="V13" s="33"/>
      <c r="W13" s="34"/>
      <c r="X13" s="33"/>
      <c r="Y13" s="34"/>
      <c r="Z13" s="35"/>
      <c r="AA13" s="36"/>
      <c r="AB13" s="37"/>
      <c r="AC13" s="229"/>
    </row>
    <row r="14" spans="1:29" s="38" customFormat="1" ht="250.5" customHeight="1" x14ac:dyDescent="0.4">
      <c r="A14" s="23"/>
      <c r="B14" s="24"/>
      <c r="C14" s="25" t="s">
        <v>28</v>
      </c>
      <c r="D14" s="25" t="s">
        <v>29</v>
      </c>
      <c r="E14" s="27">
        <v>90</v>
      </c>
      <c r="F14" s="31" t="s">
        <v>30</v>
      </c>
      <c r="G14" s="30">
        <v>361894900</v>
      </c>
      <c r="H14" s="29">
        <v>90</v>
      </c>
      <c r="I14" s="25" t="s">
        <v>31</v>
      </c>
      <c r="J14" s="30">
        <v>338807400</v>
      </c>
      <c r="K14" s="39"/>
      <c r="L14" s="39"/>
      <c r="M14" s="39"/>
      <c r="N14" s="29"/>
      <c r="O14" s="30"/>
      <c r="P14" s="29"/>
      <c r="Q14" s="30"/>
      <c r="R14" s="29"/>
      <c r="S14" s="30"/>
      <c r="T14" s="29"/>
      <c r="U14" s="30"/>
      <c r="V14" s="39"/>
      <c r="W14" s="39"/>
      <c r="X14" s="39"/>
      <c r="Y14" s="39"/>
      <c r="Z14" s="39"/>
      <c r="AA14" s="39"/>
      <c r="AB14" s="40"/>
      <c r="AC14" s="229"/>
    </row>
    <row r="15" spans="1:29" s="38" customFormat="1" ht="219" customHeight="1" x14ac:dyDescent="0.4">
      <c r="A15" s="23"/>
      <c r="B15" s="24"/>
      <c r="C15" s="25"/>
      <c r="D15" s="25" t="s">
        <v>32</v>
      </c>
      <c r="E15" s="27">
        <v>450</v>
      </c>
      <c r="F15" s="31" t="s">
        <v>33</v>
      </c>
      <c r="G15" s="30"/>
      <c r="H15" s="29"/>
      <c r="I15" s="25"/>
      <c r="J15" s="30"/>
      <c r="K15" s="27">
        <v>90</v>
      </c>
      <c r="L15" s="31" t="s">
        <v>31</v>
      </c>
      <c r="M15" s="30">
        <v>230533400</v>
      </c>
      <c r="N15" s="29"/>
      <c r="O15" s="30"/>
      <c r="P15" s="29"/>
      <c r="Q15" s="30"/>
      <c r="R15" s="29"/>
      <c r="S15" s="30"/>
      <c r="T15" s="29"/>
      <c r="U15" s="30"/>
      <c r="V15" s="29"/>
      <c r="W15" s="30"/>
      <c r="X15" s="29"/>
      <c r="Y15" s="30"/>
      <c r="Z15" s="41"/>
      <c r="AA15" s="41"/>
      <c r="AB15" s="42"/>
      <c r="AC15" s="229"/>
    </row>
    <row r="16" spans="1:29" s="38" customFormat="1" ht="183" customHeight="1" x14ac:dyDescent="0.4">
      <c r="A16" s="23"/>
      <c r="B16" s="24"/>
      <c r="C16" s="197" t="s">
        <v>290</v>
      </c>
      <c r="D16" s="25" t="s">
        <v>291</v>
      </c>
      <c r="E16" s="27">
        <v>450</v>
      </c>
      <c r="F16" s="31" t="s">
        <v>33</v>
      </c>
      <c r="G16" s="30">
        <v>1767239500</v>
      </c>
      <c r="H16" s="29"/>
      <c r="I16" s="25"/>
      <c r="J16" s="30"/>
      <c r="K16" s="27">
        <v>90</v>
      </c>
      <c r="L16" s="31" t="s">
        <v>33</v>
      </c>
      <c r="M16" s="30">
        <v>442592300</v>
      </c>
      <c r="N16" s="29"/>
      <c r="O16" s="30">
        <f>0+0+0</f>
        <v>0</v>
      </c>
      <c r="P16" s="29">
        <v>60</v>
      </c>
      <c r="Q16" s="30">
        <f>62770500+86167400+178937900</f>
        <v>327875800</v>
      </c>
      <c r="R16" s="29"/>
      <c r="S16" s="30"/>
      <c r="T16" s="29"/>
      <c r="U16" s="30"/>
      <c r="V16" s="29">
        <f>N16+P16+R16+T16</f>
        <v>60</v>
      </c>
      <c r="W16" s="30">
        <f>O16+Q16+S16+U16</f>
        <v>327875800</v>
      </c>
      <c r="X16" s="29">
        <f>H16+V16</f>
        <v>60</v>
      </c>
      <c r="Y16" s="30">
        <f>J16+W16</f>
        <v>327875800</v>
      </c>
      <c r="Z16" s="41">
        <f>(X16/E16)*100</f>
        <v>13.333333333333334</v>
      </c>
      <c r="AA16" s="41">
        <f>(Y16/G16)*100</f>
        <v>18.552991827083993</v>
      </c>
      <c r="AB16" s="42"/>
      <c r="AC16" s="229"/>
    </row>
    <row r="17" spans="1:29" s="38" customFormat="1" ht="51" customHeight="1" x14ac:dyDescent="0.4">
      <c r="A17" s="23"/>
      <c r="B17" s="24"/>
      <c r="C17" s="25"/>
      <c r="D17" s="25"/>
      <c r="E17" s="43"/>
      <c r="F17" s="44"/>
      <c r="G17" s="34"/>
      <c r="H17" s="32"/>
      <c r="I17" s="32"/>
      <c r="J17" s="34"/>
      <c r="K17" s="45"/>
      <c r="L17" s="44"/>
      <c r="M17" s="34"/>
      <c r="N17" s="33"/>
      <c r="O17" s="34"/>
      <c r="P17" s="32"/>
      <c r="Q17" s="34"/>
      <c r="R17" s="32"/>
      <c r="S17" s="32"/>
      <c r="T17" s="33"/>
      <c r="U17" s="32"/>
      <c r="V17" s="33"/>
      <c r="W17" s="34"/>
      <c r="X17" s="33"/>
      <c r="Y17" s="34"/>
      <c r="Z17" s="46">
        <f>Z16</f>
        <v>13.333333333333334</v>
      </c>
      <c r="AA17" s="46">
        <f>AA16</f>
        <v>18.552991827083993</v>
      </c>
      <c r="AB17" s="37"/>
      <c r="AC17" s="229"/>
    </row>
    <row r="18" spans="1:29" s="9" customFormat="1" ht="102.75" customHeight="1" x14ac:dyDescent="0.4">
      <c r="A18" s="177">
        <v>2</v>
      </c>
      <c r="B18" s="178"/>
      <c r="C18" s="169" t="s">
        <v>34</v>
      </c>
      <c r="D18" s="169" t="s">
        <v>35</v>
      </c>
      <c r="E18" s="170">
        <v>73.25</v>
      </c>
      <c r="F18" s="171" t="s">
        <v>20</v>
      </c>
      <c r="G18" s="172">
        <v>697261250</v>
      </c>
      <c r="H18" s="170">
        <v>70</v>
      </c>
      <c r="I18" s="170" t="s">
        <v>20</v>
      </c>
      <c r="J18" s="172">
        <v>638830250</v>
      </c>
      <c r="K18" s="170"/>
      <c r="L18" s="171"/>
      <c r="M18" s="172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80"/>
      <c r="AC18" s="227"/>
    </row>
    <row r="19" spans="1:29" s="9" customFormat="1" ht="162" customHeight="1" x14ac:dyDescent="0.4">
      <c r="A19" s="168"/>
      <c r="B19" s="178"/>
      <c r="C19" s="169"/>
      <c r="D19" s="169" t="s">
        <v>36</v>
      </c>
      <c r="E19" s="174">
        <v>31.9</v>
      </c>
      <c r="F19" s="171" t="s">
        <v>20</v>
      </c>
      <c r="G19" s="172">
        <v>1850640000</v>
      </c>
      <c r="H19" s="170"/>
      <c r="I19" s="170"/>
      <c r="J19" s="194"/>
      <c r="K19" s="174">
        <v>20.5</v>
      </c>
      <c r="L19" s="171" t="s">
        <v>20</v>
      </c>
      <c r="M19" s="172">
        <f>M20</f>
        <v>366565200</v>
      </c>
      <c r="N19" s="170"/>
      <c r="O19" s="172">
        <f>O20</f>
        <v>0</v>
      </c>
      <c r="P19" s="194">
        <v>10.25</v>
      </c>
      <c r="Q19" s="172">
        <f t="shared" ref="Q19" si="1">Q20</f>
        <v>263563400</v>
      </c>
      <c r="R19" s="174"/>
      <c r="S19" s="172"/>
      <c r="T19" s="174"/>
      <c r="U19" s="172"/>
      <c r="V19" s="174">
        <f>N19+P19+R19+T19</f>
        <v>10.25</v>
      </c>
      <c r="W19" s="172">
        <f>O19+Q19+S19+U19</f>
        <v>263563400</v>
      </c>
      <c r="X19" s="174">
        <f>H19+V19</f>
        <v>10.25</v>
      </c>
      <c r="Y19" s="172">
        <f>J19+W19</f>
        <v>263563400</v>
      </c>
      <c r="Z19" s="182">
        <f>(X19/E19)*100</f>
        <v>32.131661442006269</v>
      </c>
      <c r="AA19" s="174">
        <f>(Y19/G19)*100</f>
        <v>14.241743396878917</v>
      </c>
      <c r="AB19" s="176"/>
      <c r="AC19" s="227"/>
    </row>
    <row r="20" spans="1:29" s="56" customFormat="1" ht="248.25" customHeight="1" x14ac:dyDescent="0.4">
      <c r="A20" s="47"/>
      <c r="B20" s="11"/>
      <c r="C20" s="48" t="s">
        <v>37</v>
      </c>
      <c r="D20" s="48" t="s">
        <v>38</v>
      </c>
      <c r="E20" s="49">
        <v>33.9</v>
      </c>
      <c r="F20" s="50" t="s">
        <v>20</v>
      </c>
      <c r="G20" s="51">
        <v>2085410000</v>
      </c>
      <c r="H20" s="49">
        <v>12.9</v>
      </c>
      <c r="I20" s="52" t="s">
        <v>20</v>
      </c>
      <c r="J20" s="51">
        <v>638830250</v>
      </c>
      <c r="K20" s="49">
        <v>23.2</v>
      </c>
      <c r="L20" s="50" t="s">
        <v>20</v>
      </c>
      <c r="M20" s="51">
        <f>M22</f>
        <v>366565200</v>
      </c>
      <c r="N20" s="49"/>
      <c r="O20" s="51">
        <f>O22</f>
        <v>0</v>
      </c>
      <c r="P20" s="261">
        <v>11.6</v>
      </c>
      <c r="Q20" s="51">
        <f t="shared" ref="Q20" si="2">Q22</f>
        <v>263563400</v>
      </c>
      <c r="R20" s="49"/>
      <c r="S20" s="51"/>
      <c r="T20" s="49"/>
      <c r="U20" s="51"/>
      <c r="V20" s="49">
        <f>N20+P20+R20+T20</f>
        <v>11.6</v>
      </c>
      <c r="W20" s="51">
        <f>O20+Q20+S20+U20</f>
        <v>263563400</v>
      </c>
      <c r="X20" s="49">
        <f>H20+V20</f>
        <v>24.5</v>
      </c>
      <c r="Y20" s="51">
        <f>J20+W20</f>
        <v>902393650</v>
      </c>
      <c r="Z20" s="54">
        <f>(X20/E20)*100</f>
        <v>72.271386430678461</v>
      </c>
      <c r="AA20" s="49">
        <f>(Y20/G20)*100</f>
        <v>43.271761907730372</v>
      </c>
      <c r="AB20" s="55"/>
      <c r="AC20" s="218"/>
    </row>
    <row r="21" spans="1:29" s="38" customFormat="1" ht="185.25" customHeight="1" x14ac:dyDescent="0.4">
      <c r="A21" s="23"/>
      <c r="B21" s="24"/>
      <c r="C21" s="197" t="s">
        <v>39</v>
      </c>
      <c r="D21" s="25" t="s">
        <v>40</v>
      </c>
      <c r="E21" s="57">
        <v>210</v>
      </c>
      <c r="F21" s="57" t="s">
        <v>41</v>
      </c>
      <c r="G21" s="58">
        <v>234770000</v>
      </c>
      <c r="H21" s="29">
        <v>210</v>
      </c>
      <c r="I21" s="29" t="s">
        <v>42</v>
      </c>
      <c r="J21" s="30">
        <v>638830250</v>
      </c>
      <c r="K21" s="57"/>
      <c r="L21" s="57"/>
      <c r="M21" s="58"/>
      <c r="N21" s="29"/>
      <c r="O21" s="30"/>
      <c r="P21" s="29"/>
      <c r="Q21" s="30"/>
      <c r="R21" s="29"/>
      <c r="S21" s="30"/>
      <c r="T21" s="29"/>
      <c r="U21" s="30"/>
      <c r="V21" s="39"/>
      <c r="W21" s="39"/>
      <c r="X21" s="39"/>
      <c r="Y21" s="39"/>
      <c r="Z21" s="39"/>
      <c r="AA21" s="39"/>
      <c r="AB21" s="40"/>
      <c r="AC21" s="229"/>
    </row>
    <row r="22" spans="1:29" s="38" customFormat="1" ht="149.25" customHeight="1" x14ac:dyDescent="0.4">
      <c r="A22" s="23"/>
      <c r="B22" s="24"/>
      <c r="C22" s="25"/>
      <c r="D22" s="25" t="s">
        <v>205</v>
      </c>
      <c r="E22" s="57">
        <v>210</v>
      </c>
      <c r="F22" s="57" t="s">
        <v>41</v>
      </c>
      <c r="G22" s="58">
        <v>1850640000</v>
      </c>
      <c r="H22" s="29"/>
      <c r="I22" s="29"/>
      <c r="J22" s="30"/>
      <c r="K22" s="57">
        <v>210</v>
      </c>
      <c r="L22" s="57" t="s">
        <v>41</v>
      </c>
      <c r="M22" s="58">
        <v>366565200</v>
      </c>
      <c r="N22" s="29"/>
      <c r="O22" s="30">
        <f>0+0+0</f>
        <v>0</v>
      </c>
      <c r="P22" s="29">
        <v>150</v>
      </c>
      <c r="Q22" s="30">
        <f>0+111781700+151781700</f>
        <v>263563400</v>
      </c>
      <c r="R22" s="29"/>
      <c r="S22" s="30"/>
      <c r="T22" s="29"/>
      <c r="U22" s="30"/>
      <c r="V22" s="29">
        <f>N22+P22+R22+T22</f>
        <v>150</v>
      </c>
      <c r="W22" s="30">
        <f>O22+Q22+S22+U22</f>
        <v>263563400</v>
      </c>
      <c r="X22" s="29">
        <f>H22+V22</f>
        <v>150</v>
      </c>
      <c r="Y22" s="30">
        <f>J22+W22</f>
        <v>263563400</v>
      </c>
      <c r="Z22" s="59">
        <f>(X22/E22)*100</f>
        <v>71.428571428571431</v>
      </c>
      <c r="AA22" s="41">
        <f>(Y22/G22)*100</f>
        <v>14.241743396878917</v>
      </c>
      <c r="AB22" s="37"/>
      <c r="AC22" s="229"/>
    </row>
    <row r="23" spans="1:29" s="38" customFormat="1" ht="30.75" customHeight="1" x14ac:dyDescent="0.4">
      <c r="A23" s="23"/>
      <c r="B23" s="24"/>
      <c r="C23" s="25"/>
      <c r="D23" s="25"/>
      <c r="E23" s="57"/>
      <c r="F23" s="57"/>
      <c r="G23" s="58"/>
      <c r="H23" s="32"/>
      <c r="I23" s="32"/>
      <c r="J23" s="34"/>
      <c r="K23" s="57"/>
      <c r="L23" s="57"/>
      <c r="M23" s="58"/>
      <c r="N23" s="33"/>
      <c r="O23" s="34"/>
      <c r="P23" s="32"/>
      <c r="Q23" s="34"/>
      <c r="R23" s="32"/>
      <c r="S23" s="32"/>
      <c r="T23" s="33"/>
      <c r="U23" s="32"/>
      <c r="V23" s="33"/>
      <c r="W23" s="34"/>
      <c r="X23" s="33"/>
      <c r="Y23" s="34"/>
      <c r="Z23" s="46">
        <f>Z22</f>
        <v>71.428571428571431</v>
      </c>
      <c r="AA23" s="46">
        <f>AA22</f>
        <v>14.241743396878917</v>
      </c>
      <c r="AB23" s="37"/>
      <c r="AC23" s="229"/>
    </row>
    <row r="24" spans="1:29" s="9" customFormat="1" ht="212.25" customHeight="1" x14ac:dyDescent="0.4">
      <c r="A24" s="177">
        <v>3</v>
      </c>
      <c r="B24" s="178"/>
      <c r="C24" s="169" t="s">
        <v>43</v>
      </c>
      <c r="D24" s="169" t="s">
        <v>44</v>
      </c>
      <c r="E24" s="183">
        <v>6.49</v>
      </c>
      <c r="F24" s="184" t="s">
        <v>20</v>
      </c>
      <c r="G24" s="172">
        <v>46185000</v>
      </c>
      <c r="H24" s="170">
        <v>6.49</v>
      </c>
      <c r="I24" s="170" t="s">
        <v>20</v>
      </c>
      <c r="J24" s="172">
        <v>46184800</v>
      </c>
      <c r="K24" s="183"/>
      <c r="L24" s="184"/>
      <c r="M24" s="172"/>
      <c r="N24" s="170"/>
      <c r="O24" s="172"/>
      <c r="P24" s="170"/>
      <c r="Q24" s="172"/>
      <c r="R24" s="170"/>
      <c r="S24" s="172"/>
      <c r="T24" s="170"/>
      <c r="U24" s="172"/>
      <c r="V24" s="179"/>
      <c r="W24" s="179"/>
      <c r="X24" s="179"/>
      <c r="Y24" s="179"/>
      <c r="Z24" s="179"/>
      <c r="AA24" s="179"/>
      <c r="AB24" s="180"/>
      <c r="AC24" s="227"/>
    </row>
    <row r="25" spans="1:29" s="9" customFormat="1" ht="407.25" customHeight="1" x14ac:dyDescent="0.4">
      <c r="A25" s="168"/>
      <c r="B25" s="178"/>
      <c r="C25" s="169"/>
      <c r="D25" s="169" t="s">
        <v>45</v>
      </c>
      <c r="E25" s="185">
        <v>12.5</v>
      </c>
      <c r="F25" s="184" t="s">
        <v>20</v>
      </c>
      <c r="G25" s="172">
        <v>1081270500</v>
      </c>
      <c r="H25" s="170"/>
      <c r="I25" s="170"/>
      <c r="J25" s="172"/>
      <c r="K25" s="185">
        <v>7</v>
      </c>
      <c r="L25" s="184" t="s">
        <v>20</v>
      </c>
      <c r="M25" s="172">
        <f>M27</f>
        <v>172976000</v>
      </c>
      <c r="N25" s="174">
        <v>1.75</v>
      </c>
      <c r="O25" s="181">
        <f>O27</f>
        <v>0</v>
      </c>
      <c r="P25" s="174">
        <v>1.75</v>
      </c>
      <c r="Q25" s="172">
        <f>Q27</f>
        <v>172069000</v>
      </c>
      <c r="R25" s="174"/>
      <c r="S25" s="172">
        <f>S27</f>
        <v>0</v>
      </c>
      <c r="T25" s="170"/>
      <c r="U25" s="172">
        <f>U29</f>
        <v>0</v>
      </c>
      <c r="V25" s="174">
        <f>N25+P25+R25+T25</f>
        <v>3.5</v>
      </c>
      <c r="W25" s="172">
        <f>O25+Q25+S25+U25</f>
        <v>172069000</v>
      </c>
      <c r="X25" s="174">
        <f>H25+V25</f>
        <v>3.5</v>
      </c>
      <c r="Y25" s="172">
        <f>J25+W25</f>
        <v>172069000</v>
      </c>
      <c r="Z25" s="174">
        <f>(X25/E25)*100</f>
        <v>28.000000000000004</v>
      </c>
      <c r="AA25" s="174">
        <f>(Y25/G25)*100</f>
        <v>15.913594239369337</v>
      </c>
      <c r="AB25" s="176"/>
      <c r="AC25" s="227"/>
    </row>
    <row r="26" spans="1:29" s="56" customFormat="1" ht="161.25" customHeight="1" x14ac:dyDescent="0.4">
      <c r="A26" s="47"/>
      <c r="B26" s="11"/>
      <c r="C26" s="48" t="s">
        <v>46</v>
      </c>
      <c r="D26" s="48" t="s">
        <v>47</v>
      </c>
      <c r="E26" s="52">
        <v>24.35</v>
      </c>
      <c r="F26" s="50" t="s">
        <v>20</v>
      </c>
      <c r="G26" s="51">
        <v>46185000</v>
      </c>
      <c r="H26" s="52">
        <v>8.1199999999999992</v>
      </c>
      <c r="I26" s="52" t="s">
        <v>20</v>
      </c>
      <c r="J26" s="51">
        <v>46184800</v>
      </c>
      <c r="K26" s="61"/>
      <c r="L26" s="61"/>
      <c r="M26" s="51"/>
      <c r="N26" s="62"/>
      <c r="O26" s="51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3"/>
      <c r="AC26" s="218"/>
    </row>
    <row r="27" spans="1:29" s="56" customFormat="1" ht="290.25" customHeight="1" x14ac:dyDescent="0.4">
      <c r="A27" s="47"/>
      <c r="B27" s="11"/>
      <c r="C27" s="48"/>
      <c r="D27" s="48" t="s">
        <v>48</v>
      </c>
      <c r="E27" s="52">
        <v>28.83</v>
      </c>
      <c r="F27" s="50" t="s">
        <v>20</v>
      </c>
      <c r="G27" s="51">
        <v>1035085500</v>
      </c>
      <c r="H27" s="52"/>
      <c r="I27" s="52"/>
      <c r="J27" s="51"/>
      <c r="K27" s="61">
        <v>17.329999999999998</v>
      </c>
      <c r="L27" s="61" t="s">
        <v>20</v>
      </c>
      <c r="M27" s="51">
        <f>M30</f>
        <v>172976000</v>
      </c>
      <c r="N27" s="49">
        <v>4.33</v>
      </c>
      <c r="O27" s="51">
        <f>O30</f>
        <v>0</v>
      </c>
      <c r="P27" s="261">
        <v>4.33</v>
      </c>
      <c r="Q27" s="51">
        <f t="shared" ref="Q27" si="3">Q30</f>
        <v>172069000</v>
      </c>
      <c r="R27" s="52">
        <v>0</v>
      </c>
      <c r="S27" s="51">
        <f>S28+S29</f>
        <v>0</v>
      </c>
      <c r="T27" s="52">
        <f>T28</f>
        <v>0</v>
      </c>
      <c r="U27" s="51">
        <f>U28</f>
        <v>0</v>
      </c>
      <c r="V27" s="49">
        <f>N27+P27+R27+T27</f>
        <v>8.66</v>
      </c>
      <c r="W27" s="51">
        <f>O27+Q27+S27+U27</f>
        <v>172069000</v>
      </c>
      <c r="X27" s="49">
        <f>H27+V27</f>
        <v>8.66</v>
      </c>
      <c r="Y27" s="51">
        <f>J27+W27</f>
        <v>172069000</v>
      </c>
      <c r="Z27" s="49">
        <f>(X27/E27)*100</f>
        <v>30.038154699965315</v>
      </c>
      <c r="AA27" s="49">
        <f>(Y27/G27)*100</f>
        <v>16.623650896471837</v>
      </c>
      <c r="AB27" s="55"/>
      <c r="AC27" s="218"/>
    </row>
    <row r="28" spans="1:29" s="38" customFormat="1" ht="275.25" customHeight="1" x14ac:dyDescent="0.4">
      <c r="A28" s="23"/>
      <c r="B28" s="24"/>
      <c r="C28" s="197" t="s">
        <v>49</v>
      </c>
      <c r="D28" s="25" t="s">
        <v>50</v>
      </c>
      <c r="E28" s="33">
        <v>90</v>
      </c>
      <c r="F28" s="44" t="s">
        <v>30</v>
      </c>
      <c r="G28" s="34">
        <v>46185000</v>
      </c>
      <c r="H28" s="33">
        <v>90</v>
      </c>
      <c r="I28" s="45" t="s">
        <v>42</v>
      </c>
      <c r="J28" s="34">
        <v>46184800</v>
      </c>
      <c r="K28" s="64"/>
      <c r="L28" s="64"/>
      <c r="M28" s="34"/>
      <c r="N28" s="33"/>
      <c r="O28" s="34"/>
      <c r="P28" s="33"/>
      <c r="Q28" s="34"/>
      <c r="R28" s="33"/>
      <c r="S28" s="34"/>
      <c r="T28" s="33"/>
      <c r="U28" s="34"/>
      <c r="V28" s="39"/>
      <c r="W28" s="39"/>
      <c r="X28" s="39"/>
      <c r="Y28" s="39"/>
      <c r="Z28" s="39"/>
      <c r="AA28" s="39"/>
      <c r="AB28" s="40"/>
      <c r="AC28" s="229"/>
    </row>
    <row r="29" spans="1:29" s="38" customFormat="1" ht="106.5" customHeight="1" x14ac:dyDescent="0.4">
      <c r="A29" s="23"/>
      <c r="B29" s="24"/>
      <c r="C29" s="25"/>
      <c r="D29" s="25" t="s">
        <v>51</v>
      </c>
      <c r="E29" s="33">
        <v>510</v>
      </c>
      <c r="F29" s="44" t="s">
        <v>41</v>
      </c>
      <c r="G29" s="34">
        <v>1035085500</v>
      </c>
      <c r="H29" s="33"/>
      <c r="I29" s="45"/>
      <c r="J29" s="34"/>
      <c r="K29" s="64"/>
      <c r="L29" s="64"/>
      <c r="M29" s="34"/>
      <c r="N29" s="33"/>
      <c r="O29" s="34"/>
      <c r="P29" s="33"/>
      <c r="Q29" s="30"/>
      <c r="R29" s="33"/>
      <c r="S29" s="30"/>
      <c r="T29" s="33"/>
      <c r="U29" s="34"/>
      <c r="V29" s="33"/>
      <c r="W29" s="34"/>
      <c r="X29" s="33"/>
      <c r="Y29" s="34"/>
      <c r="Z29" s="36"/>
      <c r="AA29" s="36"/>
      <c r="AB29" s="37"/>
      <c r="AC29" s="229"/>
    </row>
    <row r="30" spans="1:29" s="38" customFormat="1" ht="204" customHeight="1" x14ac:dyDescent="0.4">
      <c r="A30" s="23"/>
      <c r="B30" s="24"/>
      <c r="C30" s="25"/>
      <c r="D30" s="25" t="s">
        <v>214</v>
      </c>
      <c r="E30" s="33">
        <v>450</v>
      </c>
      <c r="F30" s="44" t="s">
        <v>33</v>
      </c>
      <c r="G30" s="34">
        <v>1035085500</v>
      </c>
      <c r="H30" s="33"/>
      <c r="I30" s="45"/>
      <c r="J30" s="34"/>
      <c r="K30" s="33">
        <v>150</v>
      </c>
      <c r="L30" s="44" t="s">
        <v>33</v>
      </c>
      <c r="M30" s="34">
        <v>172976000</v>
      </c>
      <c r="N30" s="36"/>
      <c r="O30" s="34">
        <f>0+0+0</f>
        <v>0</v>
      </c>
      <c r="P30" s="33">
        <v>120</v>
      </c>
      <c r="Q30" s="30">
        <f>0+75534500+96534500</f>
        <v>172069000</v>
      </c>
      <c r="R30" s="33"/>
      <c r="S30" s="30"/>
      <c r="T30" s="33"/>
      <c r="U30" s="34"/>
      <c r="V30" s="36">
        <f>N30+P30+R30+T30</f>
        <v>120</v>
      </c>
      <c r="W30" s="34">
        <f>O30+Q30+S30+U30</f>
        <v>172069000</v>
      </c>
      <c r="X30" s="241">
        <f>H30+V30</f>
        <v>120</v>
      </c>
      <c r="Y30" s="34">
        <f>J30+W30</f>
        <v>172069000</v>
      </c>
      <c r="Z30" s="36">
        <f>(X30/E30)*100</f>
        <v>26.666666666666668</v>
      </c>
      <c r="AA30" s="36">
        <f>(Y30/G30)*100</f>
        <v>16.623650896471837</v>
      </c>
      <c r="AB30" s="37"/>
      <c r="AC30" s="229"/>
    </row>
    <row r="31" spans="1:29" s="38" customFormat="1" ht="34.5" customHeight="1" x14ac:dyDescent="0.4">
      <c r="A31" s="23"/>
      <c r="B31" s="65"/>
      <c r="C31" s="25"/>
      <c r="D31" s="25"/>
      <c r="E31" s="33"/>
      <c r="F31" s="44"/>
      <c r="G31" s="34"/>
      <c r="H31" s="32"/>
      <c r="I31" s="32"/>
      <c r="J31" s="34"/>
      <c r="K31" s="64"/>
      <c r="L31" s="64"/>
      <c r="M31" s="34"/>
      <c r="N31" s="33"/>
      <c r="O31" s="34"/>
      <c r="P31" s="32"/>
      <c r="Q31" s="34"/>
      <c r="R31" s="32"/>
      <c r="S31" s="32"/>
      <c r="T31" s="33"/>
      <c r="U31" s="32"/>
      <c r="V31" s="33"/>
      <c r="W31" s="34"/>
      <c r="X31" s="33"/>
      <c r="Y31" s="34"/>
      <c r="Z31" s="46">
        <f>Z30</f>
        <v>26.666666666666668</v>
      </c>
      <c r="AA31" s="46">
        <f>AA30</f>
        <v>16.623650896471837</v>
      </c>
      <c r="AB31" s="37"/>
      <c r="AC31" s="229"/>
    </row>
    <row r="32" spans="1:29" s="9" customFormat="1" ht="163.5" customHeight="1" x14ac:dyDescent="0.4">
      <c r="A32" s="177">
        <v>4</v>
      </c>
      <c r="B32" s="169" t="s">
        <v>52</v>
      </c>
      <c r="C32" s="169" t="s">
        <v>53</v>
      </c>
      <c r="D32" s="169" t="s">
        <v>54</v>
      </c>
      <c r="E32" s="170">
        <v>0.5</v>
      </c>
      <c r="F32" s="171" t="s">
        <v>20</v>
      </c>
      <c r="G32" s="172">
        <v>949140250</v>
      </c>
      <c r="H32" s="174">
        <v>0.5</v>
      </c>
      <c r="I32" s="170" t="s">
        <v>20</v>
      </c>
      <c r="J32" s="172">
        <v>1055329208</v>
      </c>
      <c r="K32" s="170"/>
      <c r="L32" s="171"/>
      <c r="M32" s="172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80"/>
      <c r="AC32" s="227"/>
    </row>
    <row r="33" spans="1:29" s="9" customFormat="1" ht="153.75" customHeight="1" x14ac:dyDescent="0.4">
      <c r="A33" s="168"/>
      <c r="B33" s="169"/>
      <c r="C33" s="169"/>
      <c r="D33" s="169" t="s">
        <v>55</v>
      </c>
      <c r="E33" s="170">
        <v>1.45</v>
      </c>
      <c r="F33" s="171" t="s">
        <v>20</v>
      </c>
      <c r="G33" s="172">
        <v>7332387500</v>
      </c>
      <c r="H33" s="174"/>
      <c r="I33" s="170"/>
      <c r="J33" s="194"/>
      <c r="K33" s="171">
        <v>1.3599999999999999E-2</v>
      </c>
      <c r="L33" s="171" t="s">
        <v>20</v>
      </c>
      <c r="M33" s="172">
        <f>M34</f>
        <v>1408775500</v>
      </c>
      <c r="N33" s="170">
        <v>0.34</v>
      </c>
      <c r="O33" s="172">
        <f>O34</f>
        <v>30662829</v>
      </c>
      <c r="P33" s="194">
        <v>0.34</v>
      </c>
      <c r="Q33" s="172">
        <f>Q34</f>
        <v>133497887</v>
      </c>
      <c r="R33" s="170"/>
      <c r="S33" s="172"/>
      <c r="T33" s="170"/>
      <c r="U33" s="172"/>
      <c r="V33" s="174">
        <f>N33+P33+R33+T33</f>
        <v>0.68</v>
      </c>
      <c r="W33" s="172">
        <f>O33+Q33+S33+U33</f>
        <v>164160716</v>
      </c>
      <c r="X33" s="174">
        <f>H33+V33</f>
        <v>0.68</v>
      </c>
      <c r="Y33" s="172">
        <f>J33+W33</f>
        <v>164160716</v>
      </c>
      <c r="Z33" s="174">
        <f>(X33/E33)*100</f>
        <v>46.896551724137936</v>
      </c>
      <c r="AA33" s="174">
        <f>(Y33/G33)*100</f>
        <v>2.2388439781721847</v>
      </c>
      <c r="AB33" s="176"/>
      <c r="AC33" s="227"/>
    </row>
    <row r="34" spans="1:29" s="56" customFormat="1" ht="264.75" customHeight="1" x14ac:dyDescent="0.4">
      <c r="A34" s="47"/>
      <c r="B34" s="66"/>
      <c r="C34" s="48" t="s">
        <v>56</v>
      </c>
      <c r="D34" s="48" t="s">
        <v>57</v>
      </c>
      <c r="E34" s="52">
        <v>496</v>
      </c>
      <c r="F34" s="67" t="s">
        <v>58</v>
      </c>
      <c r="G34" s="51">
        <v>7332387500</v>
      </c>
      <c r="H34" s="52"/>
      <c r="I34" s="48"/>
      <c r="J34" s="51"/>
      <c r="K34" s="52">
        <v>176</v>
      </c>
      <c r="L34" s="67" t="s">
        <v>58</v>
      </c>
      <c r="M34" s="51">
        <f>M36+M38+M40</f>
        <v>1408775500</v>
      </c>
      <c r="N34" s="52">
        <v>44</v>
      </c>
      <c r="O34" s="51">
        <f>O36+O38+O40</f>
        <v>30662829</v>
      </c>
      <c r="P34" s="51">
        <v>44</v>
      </c>
      <c r="Q34" s="51">
        <f>Q36+Q38+Q40</f>
        <v>133497887</v>
      </c>
      <c r="R34" s="52"/>
      <c r="S34" s="51"/>
      <c r="T34" s="49"/>
      <c r="U34" s="51"/>
      <c r="V34" s="49">
        <f>N34+P34+R34+T34</f>
        <v>88</v>
      </c>
      <c r="W34" s="51">
        <f>O34+Q34+S34+U34</f>
        <v>164160716</v>
      </c>
      <c r="X34" s="49">
        <f>H34+V34</f>
        <v>88</v>
      </c>
      <c r="Y34" s="51">
        <f>J34+W34</f>
        <v>164160716</v>
      </c>
      <c r="Z34" s="49">
        <f>(X34/E34)*100</f>
        <v>17.741935483870968</v>
      </c>
      <c r="AA34" s="49">
        <f>(Y34/G34)*100</f>
        <v>2.2388439781721847</v>
      </c>
      <c r="AB34" s="55"/>
      <c r="AC34" s="218"/>
    </row>
    <row r="35" spans="1:29" s="38" customFormat="1" ht="96.75" customHeight="1" x14ac:dyDescent="0.4">
      <c r="A35" s="23"/>
      <c r="B35" s="69"/>
      <c r="C35" s="198" t="s">
        <v>59</v>
      </c>
      <c r="D35" s="71" t="s">
        <v>60</v>
      </c>
      <c r="E35" s="72">
        <v>80</v>
      </c>
      <c r="F35" s="31" t="s">
        <v>58</v>
      </c>
      <c r="G35" s="73">
        <v>48440000</v>
      </c>
      <c r="H35" s="29">
        <v>80</v>
      </c>
      <c r="I35" s="29" t="s">
        <v>61</v>
      </c>
      <c r="J35" s="74">
        <v>46232000</v>
      </c>
      <c r="K35" s="75"/>
      <c r="L35" s="57"/>
      <c r="M35" s="73"/>
      <c r="N35" s="29"/>
      <c r="O35" s="30"/>
      <c r="P35" s="29"/>
      <c r="Q35" s="30"/>
      <c r="R35" s="29"/>
      <c r="S35" s="30"/>
      <c r="T35" s="29"/>
      <c r="U35" s="76"/>
      <c r="V35" s="39"/>
      <c r="W35" s="39"/>
      <c r="X35" s="39"/>
      <c r="Y35" s="39"/>
      <c r="Z35" s="39"/>
      <c r="AA35" s="39"/>
      <c r="AB35" s="40"/>
      <c r="AC35" s="229"/>
    </row>
    <row r="36" spans="1:29" s="38" customFormat="1" ht="132" customHeight="1" x14ac:dyDescent="0.4">
      <c r="A36" s="23"/>
      <c r="B36" s="69"/>
      <c r="C36" s="70"/>
      <c r="D36" s="71" t="s">
        <v>62</v>
      </c>
      <c r="E36" s="72">
        <v>690</v>
      </c>
      <c r="F36" s="31" t="s">
        <v>33</v>
      </c>
      <c r="G36" s="73">
        <v>3525934600</v>
      </c>
      <c r="H36" s="29"/>
      <c r="I36" s="29"/>
      <c r="J36" s="74"/>
      <c r="K36" s="75">
        <v>60</v>
      </c>
      <c r="L36" s="57" t="s">
        <v>31</v>
      </c>
      <c r="M36" s="73">
        <v>346845200</v>
      </c>
      <c r="N36" s="29"/>
      <c r="O36" s="30">
        <f>0+0+0</f>
        <v>0</v>
      </c>
      <c r="P36" s="29">
        <v>60</v>
      </c>
      <c r="Q36" s="30">
        <f>1040000+0+31804000</f>
        <v>32844000</v>
      </c>
      <c r="R36" s="29"/>
      <c r="S36" s="30"/>
      <c r="T36" s="29"/>
      <c r="U36" s="30"/>
      <c r="V36" s="36">
        <f>N36+P36+R36+T36</f>
        <v>60</v>
      </c>
      <c r="W36" s="34">
        <f>O36+Q36+S36+U36</f>
        <v>32844000</v>
      </c>
      <c r="X36" s="35">
        <f>H36+V36</f>
        <v>60</v>
      </c>
      <c r="Y36" s="34">
        <f>J36+W36</f>
        <v>32844000</v>
      </c>
      <c r="Z36" s="36">
        <f>(X36/E36)*100</f>
        <v>8.695652173913043</v>
      </c>
      <c r="AA36" s="36">
        <f>(Y36/G36)*100</f>
        <v>0.93149770843736002</v>
      </c>
      <c r="AB36" s="37"/>
      <c r="AC36" s="229"/>
    </row>
    <row r="37" spans="1:29" s="38" customFormat="1" ht="114" customHeight="1" x14ac:dyDescent="0.4">
      <c r="A37" s="23"/>
      <c r="B37" s="69"/>
      <c r="C37" s="198" t="s">
        <v>63</v>
      </c>
      <c r="D37" s="71" t="s">
        <v>64</v>
      </c>
      <c r="E37" s="72">
        <v>140</v>
      </c>
      <c r="F37" s="31" t="s">
        <v>58</v>
      </c>
      <c r="G37" s="73">
        <v>42409800</v>
      </c>
      <c r="H37" s="27">
        <v>140</v>
      </c>
      <c r="I37" s="27" t="s">
        <v>58</v>
      </c>
      <c r="J37" s="30">
        <v>24464600</v>
      </c>
      <c r="K37" s="75"/>
      <c r="L37" s="57"/>
      <c r="M37" s="73"/>
      <c r="N37" s="29"/>
      <c r="O37" s="74"/>
      <c r="P37" s="29"/>
      <c r="Q37" s="30"/>
      <c r="R37" s="29"/>
      <c r="S37" s="30"/>
      <c r="T37" s="29"/>
      <c r="U37" s="76"/>
      <c r="V37" s="39"/>
      <c r="W37" s="39"/>
      <c r="X37" s="39"/>
      <c r="Y37" s="39"/>
      <c r="Z37" s="39"/>
      <c r="AA37" s="39"/>
      <c r="AB37" s="40"/>
      <c r="AC37" s="229"/>
    </row>
    <row r="38" spans="1:29" s="38" customFormat="1" ht="82.5" customHeight="1" x14ac:dyDescent="0.4">
      <c r="A38" s="23"/>
      <c r="B38" s="69"/>
      <c r="C38" s="70"/>
      <c r="D38" s="71" t="s">
        <v>65</v>
      </c>
      <c r="E38" s="72">
        <v>660</v>
      </c>
      <c r="F38" s="31" t="s">
        <v>33</v>
      </c>
      <c r="G38" s="73">
        <v>238026000</v>
      </c>
      <c r="H38" s="27"/>
      <c r="I38" s="27"/>
      <c r="J38" s="30"/>
      <c r="K38" s="75">
        <v>105</v>
      </c>
      <c r="L38" s="57" t="s">
        <v>31</v>
      </c>
      <c r="M38" s="73">
        <v>159221700</v>
      </c>
      <c r="N38" s="29"/>
      <c r="O38" s="74">
        <f>0+0+0</f>
        <v>0</v>
      </c>
      <c r="P38" s="29">
        <v>105</v>
      </c>
      <c r="Q38" s="30">
        <f>0+0+0</f>
        <v>0</v>
      </c>
      <c r="R38" s="29"/>
      <c r="S38" s="30"/>
      <c r="T38" s="29"/>
      <c r="U38" s="76"/>
      <c r="V38" s="36">
        <f>N38+P38+R38+T38</f>
        <v>105</v>
      </c>
      <c r="W38" s="34">
        <f>O38+Q38+S38+U38</f>
        <v>0</v>
      </c>
      <c r="X38" s="36">
        <f>H38+V38</f>
        <v>105</v>
      </c>
      <c r="Y38" s="88">
        <f>J38+W38</f>
        <v>0</v>
      </c>
      <c r="Z38" s="36">
        <f>(X38/E38)*100</f>
        <v>15.909090909090908</v>
      </c>
      <c r="AA38" s="36">
        <f>(Y38/G38)*100</f>
        <v>0</v>
      </c>
      <c r="AB38" s="37"/>
      <c r="AC38" s="229"/>
    </row>
    <row r="39" spans="1:29" s="38" customFormat="1" ht="134.25" customHeight="1" x14ac:dyDescent="0.4">
      <c r="A39" s="23"/>
      <c r="B39" s="69"/>
      <c r="C39" s="198" t="s">
        <v>66</v>
      </c>
      <c r="D39" s="71" t="s">
        <v>67</v>
      </c>
      <c r="E39" s="78">
        <v>240</v>
      </c>
      <c r="F39" s="31" t="s">
        <v>58</v>
      </c>
      <c r="G39" s="73">
        <v>820644600</v>
      </c>
      <c r="H39" s="29">
        <v>240</v>
      </c>
      <c r="I39" s="27" t="s">
        <v>58</v>
      </c>
      <c r="J39" s="74">
        <v>818305304</v>
      </c>
      <c r="K39" s="78"/>
      <c r="L39" s="31"/>
      <c r="M39" s="79"/>
      <c r="N39" s="29"/>
      <c r="O39" s="74"/>
      <c r="P39" s="29"/>
      <c r="Q39" s="80"/>
      <c r="R39" s="29"/>
      <c r="S39" s="30"/>
      <c r="T39" s="29"/>
      <c r="U39" s="30"/>
      <c r="V39" s="39"/>
      <c r="W39" s="39"/>
      <c r="X39" s="39"/>
      <c r="Y39" s="39"/>
      <c r="Z39" s="39"/>
      <c r="AA39" s="39"/>
      <c r="AB39" s="40"/>
      <c r="AC39" s="229"/>
    </row>
    <row r="40" spans="1:29" s="38" customFormat="1" ht="180.75" customHeight="1" x14ac:dyDescent="0.4">
      <c r="A40" s="23"/>
      <c r="B40" s="69"/>
      <c r="C40" s="70"/>
      <c r="D40" s="71" t="s">
        <v>206</v>
      </c>
      <c r="E40" s="78">
        <v>1486</v>
      </c>
      <c r="F40" s="31" t="s">
        <v>33</v>
      </c>
      <c r="G40" s="73">
        <v>3610836900</v>
      </c>
      <c r="H40" s="29"/>
      <c r="I40" s="27"/>
      <c r="J40" s="74"/>
      <c r="K40" s="78">
        <v>250</v>
      </c>
      <c r="L40" s="31" t="s">
        <v>31</v>
      </c>
      <c r="M40" s="79">
        <v>902708600</v>
      </c>
      <c r="N40" s="29"/>
      <c r="O40" s="74">
        <f>9954143+10751843+9956843</f>
        <v>30662829</v>
      </c>
      <c r="P40" s="29"/>
      <c r="Q40" s="30">
        <f>14286843+20708686+65658358</f>
        <v>100653887</v>
      </c>
      <c r="R40" s="29"/>
      <c r="S40" s="30"/>
      <c r="T40" s="29"/>
      <c r="U40" s="30"/>
      <c r="V40" s="35">
        <f>N40+P40+R40+T40</f>
        <v>0</v>
      </c>
      <c r="W40" s="34">
        <f>O40+Q40+S40+U40</f>
        <v>131316716</v>
      </c>
      <c r="X40" s="36">
        <f>H40+V40</f>
        <v>0</v>
      </c>
      <c r="Y40" s="34">
        <f>J40+W40</f>
        <v>131316716</v>
      </c>
      <c r="Z40" s="36">
        <f>(X40/E40)*100</f>
        <v>0</v>
      </c>
      <c r="AA40" s="36">
        <f>(Y40/G40)*100</f>
        <v>3.6367390617947879</v>
      </c>
      <c r="AB40" s="37"/>
      <c r="AC40" s="237" t="s">
        <v>295</v>
      </c>
    </row>
    <row r="41" spans="1:29" s="38" customFormat="1" ht="213.75" customHeight="1" x14ac:dyDescent="0.4">
      <c r="A41" s="23"/>
      <c r="B41" s="69"/>
      <c r="C41" s="25" t="s">
        <v>68</v>
      </c>
      <c r="D41" s="71" t="s">
        <v>69</v>
      </c>
      <c r="E41" s="78">
        <v>90</v>
      </c>
      <c r="F41" s="31" t="s">
        <v>41</v>
      </c>
      <c r="G41" s="73">
        <v>180808200</v>
      </c>
      <c r="H41" s="29"/>
      <c r="I41" s="27"/>
      <c r="J41" s="74"/>
      <c r="K41" s="78">
        <v>90</v>
      </c>
      <c r="L41" s="31" t="s">
        <v>41</v>
      </c>
      <c r="M41" s="73">
        <v>180808200</v>
      </c>
      <c r="N41" s="29"/>
      <c r="O41" s="259">
        <v>0</v>
      </c>
      <c r="P41" s="29"/>
      <c r="Q41" s="258"/>
      <c r="R41" s="29"/>
      <c r="S41" s="30"/>
      <c r="T41" s="29"/>
      <c r="U41" s="30"/>
      <c r="V41" s="36"/>
      <c r="W41" s="34"/>
      <c r="X41" s="36"/>
      <c r="Y41" s="34"/>
      <c r="Z41" s="77"/>
      <c r="AA41" s="77"/>
      <c r="AB41" s="37"/>
      <c r="AC41" s="229"/>
    </row>
    <row r="42" spans="1:29" s="38" customFormat="1" ht="32.25" customHeight="1" x14ac:dyDescent="0.4">
      <c r="A42" s="23"/>
      <c r="B42" s="69"/>
      <c r="C42" s="70"/>
      <c r="D42" s="71"/>
      <c r="E42" s="78"/>
      <c r="F42" s="31"/>
      <c r="G42" s="73"/>
      <c r="H42" s="32"/>
      <c r="I42" s="32"/>
      <c r="J42" s="34"/>
      <c r="K42" s="78"/>
      <c r="L42" s="31"/>
      <c r="M42" s="34"/>
      <c r="N42" s="33"/>
      <c r="O42" s="30"/>
      <c r="P42" s="32"/>
      <c r="Q42" s="34"/>
      <c r="R42" s="32"/>
      <c r="S42" s="32"/>
      <c r="T42" s="33"/>
      <c r="U42" s="32"/>
      <c r="V42" s="33"/>
      <c r="W42" s="34"/>
      <c r="X42" s="33"/>
      <c r="Y42" s="34"/>
      <c r="Z42" s="192">
        <f>(Z36+Z40+Z38+Z41)/4</f>
        <v>6.1511857707509883</v>
      </c>
      <c r="AA42" s="192">
        <f>(AA36+AA40+AA38+AA41)/4</f>
        <v>1.142059192558037</v>
      </c>
      <c r="AB42" s="37"/>
      <c r="AC42" s="229"/>
    </row>
    <row r="43" spans="1:29" s="9" customFormat="1" ht="155.25" customHeight="1" x14ac:dyDescent="0.4">
      <c r="A43" s="177">
        <v>5</v>
      </c>
      <c r="B43" s="186"/>
      <c r="C43" s="169" t="s">
        <v>70</v>
      </c>
      <c r="D43" s="169" t="s">
        <v>71</v>
      </c>
      <c r="E43" s="170">
        <v>0.5</v>
      </c>
      <c r="F43" s="171" t="s">
        <v>20</v>
      </c>
      <c r="G43" s="172">
        <v>1093979000</v>
      </c>
      <c r="H43" s="170">
        <v>0.5</v>
      </c>
      <c r="I43" s="170" t="s">
        <v>20</v>
      </c>
      <c r="J43" s="172">
        <v>188828000</v>
      </c>
      <c r="K43" s="170"/>
      <c r="L43" s="187"/>
      <c r="M43" s="172"/>
      <c r="N43" s="170"/>
      <c r="O43" s="172"/>
      <c r="P43" s="179"/>
      <c r="Q43" s="172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80"/>
      <c r="AC43" s="227"/>
    </row>
    <row r="44" spans="1:29" s="9" customFormat="1" ht="111.75" customHeight="1" x14ac:dyDescent="0.4">
      <c r="A44" s="168"/>
      <c r="B44" s="186"/>
      <c r="C44" s="169"/>
      <c r="D44" s="169" t="s">
        <v>72</v>
      </c>
      <c r="E44" s="174">
        <v>1.9</v>
      </c>
      <c r="F44" s="171" t="s">
        <v>20</v>
      </c>
      <c r="G44" s="172">
        <v>4286013600</v>
      </c>
      <c r="H44" s="170"/>
      <c r="I44" s="170"/>
      <c r="J44" s="172"/>
      <c r="K44" s="207">
        <v>0.3</v>
      </c>
      <c r="L44" s="187" t="s">
        <v>20</v>
      </c>
      <c r="M44" s="172">
        <f>M46</f>
        <v>974829000</v>
      </c>
      <c r="N44" s="239">
        <v>7.4999999999999997E-2</v>
      </c>
      <c r="O44" s="172">
        <f>O46</f>
        <v>47869635</v>
      </c>
      <c r="P44" s="239">
        <v>7.4999999999999997E-2</v>
      </c>
      <c r="Q44" s="172">
        <f>Q46</f>
        <v>143617545</v>
      </c>
      <c r="R44" s="170"/>
      <c r="S44" s="172"/>
      <c r="T44" s="170"/>
      <c r="U44" s="172"/>
      <c r="V44" s="174">
        <f>N44+P44+R44+T44</f>
        <v>0.15</v>
      </c>
      <c r="W44" s="172">
        <f>O44+Q44+S44+U44</f>
        <v>191487180</v>
      </c>
      <c r="X44" s="174">
        <f>H44+V44</f>
        <v>0.15</v>
      </c>
      <c r="Y44" s="172">
        <f>J44+W44</f>
        <v>191487180</v>
      </c>
      <c r="Z44" s="174">
        <f>(X44/E44)*100</f>
        <v>7.8947368421052628</v>
      </c>
      <c r="AA44" s="174">
        <f>(Y44/G44)*100</f>
        <v>4.4677221742833479</v>
      </c>
      <c r="AB44" s="176"/>
      <c r="AC44" s="227"/>
    </row>
    <row r="45" spans="1:29" s="56" customFormat="1" ht="177.75" customHeight="1" x14ac:dyDescent="0.4">
      <c r="A45" s="47"/>
      <c r="B45" s="66"/>
      <c r="C45" s="48" t="s">
        <v>73</v>
      </c>
      <c r="D45" s="48" t="s">
        <v>74</v>
      </c>
      <c r="E45" s="52">
        <v>176</v>
      </c>
      <c r="F45" s="67" t="s">
        <v>58</v>
      </c>
      <c r="G45" s="51">
        <v>1093979000</v>
      </c>
      <c r="H45" s="52">
        <v>176</v>
      </c>
      <c r="I45" s="81" t="s">
        <v>58</v>
      </c>
      <c r="J45" s="51">
        <v>641741760</v>
      </c>
      <c r="K45" s="52"/>
      <c r="L45" s="67"/>
      <c r="M45" s="51"/>
      <c r="N45" s="52"/>
      <c r="O45" s="51"/>
      <c r="P45" s="62"/>
      <c r="Q45" s="51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3"/>
      <c r="AC45" s="218"/>
    </row>
    <row r="46" spans="1:29" s="56" customFormat="1" ht="81" customHeight="1" x14ac:dyDescent="0.4">
      <c r="A46" s="47"/>
      <c r="B46" s="66">
        <f>500/4</f>
        <v>125</v>
      </c>
      <c r="C46" s="48"/>
      <c r="D46" s="48" t="s">
        <v>75</v>
      </c>
      <c r="E46" s="52">
        <v>2176</v>
      </c>
      <c r="F46" s="67" t="s">
        <v>76</v>
      </c>
      <c r="G46" s="51">
        <v>4286013600</v>
      </c>
      <c r="H46" s="52"/>
      <c r="I46" s="81"/>
      <c r="J46" s="51"/>
      <c r="K46" s="52">
        <v>500</v>
      </c>
      <c r="L46" s="67" t="s">
        <v>58</v>
      </c>
      <c r="M46" s="51">
        <f>M49</f>
        <v>974829000</v>
      </c>
      <c r="N46" s="52">
        <v>125</v>
      </c>
      <c r="O46" s="51">
        <f>O49</f>
        <v>47869635</v>
      </c>
      <c r="P46" s="51">
        <v>125</v>
      </c>
      <c r="Q46" s="51">
        <f t="shared" ref="Q46" si="4">Q49</f>
        <v>143617545</v>
      </c>
      <c r="R46" s="52"/>
      <c r="S46" s="51"/>
      <c r="T46" s="52"/>
      <c r="U46" s="51"/>
      <c r="V46" s="54">
        <f>N46+P46+R46+T46</f>
        <v>250</v>
      </c>
      <c r="W46" s="51">
        <f>O46+Q46+S46+U46</f>
        <v>191487180</v>
      </c>
      <c r="X46" s="49">
        <f>H46+V46</f>
        <v>250</v>
      </c>
      <c r="Y46" s="51">
        <f>J46+W46</f>
        <v>191487180</v>
      </c>
      <c r="Z46" s="49">
        <f>(X46/E46)*100</f>
        <v>11.488970588235293</v>
      </c>
      <c r="AA46" s="49">
        <f>(Y46/G46)*100</f>
        <v>4.4677221742833479</v>
      </c>
      <c r="AB46" s="55"/>
      <c r="AC46" s="218"/>
    </row>
    <row r="47" spans="1:29" s="38" customFormat="1" ht="206.25" customHeight="1" x14ac:dyDescent="0.4">
      <c r="A47" s="23"/>
      <c r="B47" s="69"/>
      <c r="C47" s="25" t="s">
        <v>77</v>
      </c>
      <c r="D47" s="25" t="s">
        <v>78</v>
      </c>
      <c r="E47" s="57">
        <v>35320</v>
      </c>
      <c r="F47" s="57" t="s">
        <v>76</v>
      </c>
      <c r="G47" s="73">
        <v>1093979000</v>
      </c>
      <c r="H47" s="76">
        <v>35320</v>
      </c>
      <c r="I47" s="76" t="s">
        <v>61</v>
      </c>
      <c r="J47" s="34">
        <v>641741760</v>
      </c>
      <c r="K47" s="82">
        <v>35320</v>
      </c>
      <c r="L47" s="78" t="s">
        <v>79</v>
      </c>
      <c r="M47" s="73">
        <v>648763220</v>
      </c>
      <c r="N47" s="29"/>
      <c r="O47" s="30"/>
      <c r="P47" s="33"/>
      <c r="Q47" s="34"/>
      <c r="R47" s="33"/>
      <c r="S47" s="34"/>
      <c r="T47" s="33"/>
      <c r="U47" s="30"/>
      <c r="V47" s="39"/>
      <c r="W47" s="39"/>
      <c r="X47" s="39"/>
      <c r="Y47" s="39"/>
      <c r="Z47" s="39"/>
      <c r="AA47" s="39"/>
      <c r="AB47" s="40"/>
      <c r="AC47" s="229"/>
    </row>
    <row r="48" spans="1:29" s="38" customFormat="1" ht="187.5" customHeight="1" x14ac:dyDescent="0.4">
      <c r="A48" s="23"/>
      <c r="B48" s="69"/>
      <c r="C48" s="25"/>
      <c r="D48" s="25" t="s">
        <v>80</v>
      </c>
      <c r="E48" s="57">
        <v>2525</v>
      </c>
      <c r="F48" s="57" t="s">
        <v>31</v>
      </c>
      <c r="G48" s="73">
        <v>4286013600</v>
      </c>
      <c r="H48" s="76"/>
      <c r="I48" s="76"/>
      <c r="J48" s="34"/>
      <c r="K48" s="82">
        <v>500</v>
      </c>
      <c r="L48" s="78" t="s">
        <v>33</v>
      </c>
      <c r="M48" s="73">
        <v>1051179620</v>
      </c>
      <c r="N48" s="29"/>
      <c r="O48" s="30"/>
      <c r="P48" s="33"/>
      <c r="Q48" s="30"/>
      <c r="R48" s="33"/>
      <c r="S48" s="30"/>
      <c r="T48" s="33"/>
      <c r="U48" s="30"/>
      <c r="V48" s="35"/>
      <c r="W48" s="34"/>
      <c r="X48" s="36"/>
      <c r="Y48" s="34"/>
      <c r="Z48" s="35"/>
      <c r="AA48" s="77"/>
      <c r="AB48" s="37"/>
      <c r="AC48" s="229"/>
    </row>
    <row r="49" spans="1:29" s="38" customFormat="1" ht="173.25" customHeight="1" x14ac:dyDescent="0.4">
      <c r="A49" s="23"/>
      <c r="B49" s="69"/>
      <c r="C49" s="197" t="s">
        <v>215</v>
      </c>
      <c r="D49" s="25" t="s">
        <v>216</v>
      </c>
      <c r="E49" s="243"/>
      <c r="F49" s="244"/>
      <c r="G49" s="73"/>
      <c r="H49" s="32"/>
      <c r="I49" s="32"/>
      <c r="J49" s="34"/>
      <c r="K49" s="82">
        <v>500</v>
      </c>
      <c r="L49" s="78" t="s">
        <v>33</v>
      </c>
      <c r="M49" s="73">
        <v>974829000</v>
      </c>
      <c r="N49" s="29"/>
      <c r="O49" s="30">
        <f>15953665+15957985+15957985</f>
        <v>47869635</v>
      </c>
      <c r="P49" s="32">
        <v>20</v>
      </c>
      <c r="Q49" s="30">
        <f>15957985+31915970+95743590</f>
        <v>143617545</v>
      </c>
      <c r="R49" s="32"/>
      <c r="S49" s="32"/>
      <c r="T49" s="33"/>
      <c r="U49" s="32"/>
      <c r="V49" s="35">
        <f>N49+P49+R49+T49</f>
        <v>20</v>
      </c>
      <c r="W49" s="34">
        <f>O49+Q49+S49+U49</f>
        <v>191487180</v>
      </c>
      <c r="X49" s="36">
        <f>H49+V49</f>
        <v>20</v>
      </c>
      <c r="Y49" s="34">
        <f>J49+W49</f>
        <v>191487180</v>
      </c>
      <c r="Z49" s="256" t="e">
        <f>(X49/E49)*100</f>
        <v>#DIV/0!</v>
      </c>
      <c r="AA49" s="263" t="e">
        <f>(Y49/G49)*100</f>
        <v>#DIV/0!</v>
      </c>
      <c r="AB49" s="37"/>
      <c r="AC49" s="229" t="s">
        <v>294</v>
      </c>
    </row>
    <row r="50" spans="1:29" s="38" customFormat="1" ht="42.75" customHeight="1" x14ac:dyDescent="0.4">
      <c r="A50" s="23"/>
      <c r="B50" s="69"/>
      <c r="C50" s="25"/>
      <c r="D50" s="25"/>
      <c r="E50" s="83"/>
      <c r="F50" s="57"/>
      <c r="G50" s="73"/>
      <c r="H50" s="32"/>
      <c r="I50" s="32"/>
      <c r="J50" s="34"/>
      <c r="K50" s="82"/>
      <c r="L50" s="78"/>
      <c r="M50" s="73"/>
      <c r="N50" s="29"/>
      <c r="O50" s="30"/>
      <c r="P50" s="32"/>
      <c r="Q50" s="34"/>
      <c r="R50" s="32"/>
      <c r="S50" s="32"/>
      <c r="T50" s="33"/>
      <c r="U50" s="32"/>
      <c r="V50" s="33"/>
      <c r="W50" s="34"/>
      <c r="X50" s="33"/>
      <c r="Y50" s="34"/>
      <c r="Z50" s="46" t="e">
        <f>Z49</f>
        <v>#DIV/0!</v>
      </c>
      <c r="AA50" s="192" t="e">
        <f>AA49</f>
        <v>#DIV/0!</v>
      </c>
      <c r="AB50" s="37"/>
      <c r="AC50" s="229"/>
    </row>
    <row r="51" spans="1:29" s="9" customFormat="1" ht="179.25" customHeight="1" x14ac:dyDescent="0.4">
      <c r="A51" s="177">
        <v>6</v>
      </c>
      <c r="B51" s="169" t="s">
        <v>81</v>
      </c>
      <c r="C51" s="169" t="s">
        <v>82</v>
      </c>
      <c r="D51" s="169" t="s">
        <v>83</v>
      </c>
      <c r="E51" s="170">
        <v>100</v>
      </c>
      <c r="F51" s="171" t="s">
        <v>20</v>
      </c>
      <c r="G51" s="172">
        <v>100000000</v>
      </c>
      <c r="H51" s="170">
        <v>100</v>
      </c>
      <c r="I51" s="170" t="s">
        <v>20</v>
      </c>
      <c r="J51" s="173">
        <v>2270000</v>
      </c>
      <c r="K51" s="170"/>
      <c r="L51" s="171"/>
      <c r="M51" s="172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80"/>
      <c r="AC51" s="227"/>
    </row>
    <row r="52" spans="1:29" s="9" customFormat="1" ht="180" customHeight="1" x14ac:dyDescent="0.4">
      <c r="A52" s="168"/>
      <c r="B52" s="169"/>
      <c r="C52" s="169"/>
      <c r="D52" s="169" t="s">
        <v>84</v>
      </c>
      <c r="E52" s="170">
        <v>100</v>
      </c>
      <c r="F52" s="171" t="s">
        <v>20</v>
      </c>
      <c r="G52" s="172">
        <v>813664000</v>
      </c>
      <c r="H52" s="170"/>
      <c r="I52" s="170"/>
      <c r="J52" s="173"/>
      <c r="K52" s="170">
        <v>100</v>
      </c>
      <c r="L52" s="171" t="s">
        <v>20</v>
      </c>
      <c r="M52" s="172">
        <f>M54</f>
        <v>91080400</v>
      </c>
      <c r="N52" s="170">
        <v>25</v>
      </c>
      <c r="O52" s="172">
        <f>O54</f>
        <v>0</v>
      </c>
      <c r="P52" s="172">
        <v>25</v>
      </c>
      <c r="Q52" s="172">
        <f>Q54</f>
        <v>0</v>
      </c>
      <c r="R52" s="175"/>
      <c r="S52" s="175"/>
      <c r="T52" s="170"/>
      <c r="U52" s="172"/>
      <c r="V52" s="170">
        <f>N52+P52+R52+T52</f>
        <v>50</v>
      </c>
      <c r="W52" s="172">
        <f>O52+Q52+S52+U52</f>
        <v>0</v>
      </c>
      <c r="X52" s="170">
        <f>H52+V52</f>
        <v>50</v>
      </c>
      <c r="Y52" s="172">
        <f>J52+W52</f>
        <v>0</v>
      </c>
      <c r="Z52" s="188">
        <f>(X52/E52)*100</f>
        <v>50</v>
      </c>
      <c r="AA52" s="181">
        <f>(Y52/G52)*100</f>
        <v>0</v>
      </c>
      <c r="AB52" s="176"/>
      <c r="AC52" s="227"/>
    </row>
    <row r="53" spans="1:29" s="56" customFormat="1" ht="144" customHeight="1" x14ac:dyDescent="0.4">
      <c r="A53" s="47"/>
      <c r="B53" s="66"/>
      <c r="C53" s="48" t="s">
        <v>85</v>
      </c>
      <c r="D53" s="48" t="s">
        <v>86</v>
      </c>
      <c r="E53" s="52">
        <v>100</v>
      </c>
      <c r="F53" s="50" t="s">
        <v>20</v>
      </c>
      <c r="G53" s="51">
        <v>100000000</v>
      </c>
      <c r="H53" s="52">
        <v>1</v>
      </c>
      <c r="I53" s="81" t="s">
        <v>27</v>
      </c>
      <c r="J53" s="84">
        <v>2270000</v>
      </c>
      <c r="K53" s="52"/>
      <c r="L53" s="50"/>
      <c r="M53" s="51"/>
      <c r="N53" s="62"/>
      <c r="O53" s="51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3"/>
      <c r="AC53" s="218"/>
    </row>
    <row r="54" spans="1:29" s="56" customFormat="1" ht="121.5" customHeight="1" x14ac:dyDescent="0.4">
      <c r="A54" s="47"/>
      <c r="B54" s="66"/>
      <c r="C54" s="48"/>
      <c r="D54" s="48" t="s">
        <v>87</v>
      </c>
      <c r="E54" s="52">
        <v>120</v>
      </c>
      <c r="F54" s="50" t="s">
        <v>27</v>
      </c>
      <c r="G54" s="51">
        <v>813664000</v>
      </c>
      <c r="H54" s="52"/>
      <c r="I54" s="81"/>
      <c r="J54" s="84"/>
      <c r="K54" s="52">
        <v>30</v>
      </c>
      <c r="L54" s="50" t="s">
        <v>88</v>
      </c>
      <c r="M54" s="51">
        <f>M56</f>
        <v>91080400</v>
      </c>
      <c r="N54" s="52">
        <v>0</v>
      </c>
      <c r="O54" s="51">
        <f>-O56</f>
        <v>0</v>
      </c>
      <c r="P54" s="51">
        <v>0</v>
      </c>
      <c r="Q54" s="51">
        <f>-Q56</f>
        <v>0</v>
      </c>
      <c r="R54" s="53"/>
      <c r="S54" s="53"/>
      <c r="T54" s="52"/>
      <c r="U54" s="51"/>
      <c r="V54" s="52">
        <f>N54+P54+R54+T54</f>
        <v>0</v>
      </c>
      <c r="W54" s="51">
        <f>O54+Q54+S54+U54</f>
        <v>0</v>
      </c>
      <c r="X54" s="52">
        <f>H54+V54</f>
        <v>0</v>
      </c>
      <c r="Y54" s="68">
        <f>J54+W54</f>
        <v>0</v>
      </c>
      <c r="Z54" s="68">
        <f>(X54/E54)*100</f>
        <v>0</v>
      </c>
      <c r="AA54" s="68">
        <f>(Y54/G54)*100</f>
        <v>0</v>
      </c>
      <c r="AB54" s="55"/>
      <c r="AC54" s="218"/>
    </row>
    <row r="55" spans="1:29" s="38" customFormat="1" ht="95.25" customHeight="1" x14ac:dyDescent="0.4">
      <c r="A55" s="23"/>
      <c r="B55" s="69"/>
      <c r="C55" s="25" t="s">
        <v>89</v>
      </c>
      <c r="D55" s="25" t="s">
        <v>90</v>
      </c>
      <c r="E55" s="86">
        <v>1</v>
      </c>
      <c r="F55" s="57" t="s">
        <v>27</v>
      </c>
      <c r="G55" s="87">
        <v>100000000</v>
      </c>
      <c r="H55" s="33">
        <v>1</v>
      </c>
      <c r="I55" s="43" t="s">
        <v>27</v>
      </c>
      <c r="J55" s="88">
        <v>2270000</v>
      </c>
      <c r="K55" s="33"/>
      <c r="L55" s="89"/>
      <c r="M55" s="87"/>
      <c r="N55" s="33"/>
      <c r="O55" s="34"/>
      <c r="P55" s="33"/>
      <c r="Q55" s="34"/>
      <c r="R55" s="32"/>
      <c r="S55" s="34"/>
      <c r="T55" s="33"/>
      <c r="U55" s="30"/>
      <c r="V55" s="39"/>
      <c r="W55" s="39"/>
      <c r="X55" s="39"/>
      <c r="Y55" s="221"/>
      <c r="Z55" s="221"/>
      <c r="AA55" s="39"/>
      <c r="AB55" s="40"/>
      <c r="AC55" s="229"/>
    </row>
    <row r="56" spans="1:29" s="38" customFormat="1" ht="93.75" customHeight="1" x14ac:dyDescent="0.4">
      <c r="A56" s="23"/>
      <c r="B56" s="69"/>
      <c r="C56" s="197" t="s">
        <v>91</v>
      </c>
      <c r="D56" s="25" t="s">
        <v>92</v>
      </c>
      <c r="E56" s="90">
        <v>90</v>
      </c>
      <c r="F56" s="57" t="s">
        <v>93</v>
      </c>
      <c r="G56" s="87">
        <v>813664000</v>
      </c>
      <c r="H56" s="33"/>
      <c r="I56" s="43"/>
      <c r="J56" s="88"/>
      <c r="K56" s="33">
        <v>20</v>
      </c>
      <c r="L56" s="89" t="s">
        <v>41</v>
      </c>
      <c r="M56" s="87">
        <v>91080400</v>
      </c>
      <c r="N56" s="33"/>
      <c r="O56" s="34">
        <f>0+0+0</f>
        <v>0</v>
      </c>
      <c r="P56" s="33"/>
      <c r="Q56" s="34">
        <f>0+0+0</f>
        <v>0</v>
      </c>
      <c r="R56" s="32"/>
      <c r="S56" s="91"/>
      <c r="T56" s="33"/>
      <c r="U56" s="30"/>
      <c r="V56" s="33">
        <f>N56+P56+R56+T56</f>
        <v>0</v>
      </c>
      <c r="W56" s="34">
        <f>O56+Q56+S56+U56</f>
        <v>0</v>
      </c>
      <c r="X56" s="33">
        <f>H56+V56</f>
        <v>0</v>
      </c>
      <c r="Y56" s="77">
        <f>J56+W56</f>
        <v>0</v>
      </c>
      <c r="Z56" s="77">
        <f>(X56/E56)*100</f>
        <v>0</v>
      </c>
      <c r="AA56" s="77">
        <f>(Y56/G56)*100</f>
        <v>0</v>
      </c>
      <c r="AB56" s="37"/>
      <c r="AC56" s="229"/>
    </row>
    <row r="57" spans="1:29" s="38" customFormat="1" ht="27" customHeight="1" x14ac:dyDescent="0.4">
      <c r="A57" s="23"/>
      <c r="B57" s="69"/>
      <c r="C57" s="25"/>
      <c r="D57" s="25"/>
      <c r="E57" s="86"/>
      <c r="F57" s="57"/>
      <c r="G57" s="87"/>
      <c r="H57" s="33"/>
      <c r="I57" s="33"/>
      <c r="J57" s="88"/>
      <c r="K57" s="33"/>
      <c r="L57" s="89"/>
      <c r="M57" s="87"/>
      <c r="N57" s="33"/>
      <c r="O57" s="34"/>
      <c r="P57" s="32"/>
      <c r="Q57" s="34"/>
      <c r="R57" s="32"/>
      <c r="S57" s="32"/>
      <c r="T57" s="33"/>
      <c r="U57" s="32"/>
      <c r="V57" s="33"/>
      <c r="W57" s="34"/>
      <c r="X57" s="33"/>
      <c r="Y57" s="34"/>
      <c r="Z57" s="192">
        <f>Z56</f>
        <v>0</v>
      </c>
      <c r="AA57" s="192">
        <f>AA56</f>
        <v>0</v>
      </c>
      <c r="AB57" s="37"/>
      <c r="AC57" s="229"/>
    </row>
    <row r="58" spans="1:29" s="9" customFormat="1" ht="121.5" customHeight="1" x14ac:dyDescent="0.4">
      <c r="A58" s="177">
        <v>7</v>
      </c>
      <c r="B58" s="186"/>
      <c r="C58" s="169" t="s">
        <v>94</v>
      </c>
      <c r="D58" s="169" t="s">
        <v>95</v>
      </c>
      <c r="E58" s="174">
        <v>22.4</v>
      </c>
      <c r="F58" s="171" t="s">
        <v>20</v>
      </c>
      <c r="G58" s="172">
        <v>548000000</v>
      </c>
      <c r="H58" s="174">
        <v>22.4</v>
      </c>
      <c r="I58" s="170" t="s">
        <v>20</v>
      </c>
      <c r="J58" s="173">
        <v>509539660</v>
      </c>
      <c r="K58" s="170"/>
      <c r="L58" s="171"/>
      <c r="M58" s="172"/>
      <c r="N58" s="170"/>
      <c r="O58" s="172"/>
      <c r="P58" s="175"/>
      <c r="Q58" s="172"/>
      <c r="R58" s="170"/>
      <c r="S58" s="172"/>
      <c r="T58" s="170"/>
      <c r="U58" s="172"/>
      <c r="V58" s="179"/>
      <c r="W58" s="179"/>
      <c r="X58" s="179"/>
      <c r="Y58" s="179"/>
      <c r="Z58" s="179"/>
      <c r="AA58" s="179"/>
      <c r="AB58" s="180"/>
      <c r="AC58" s="227"/>
    </row>
    <row r="59" spans="1:29" s="9" customFormat="1" ht="133.5" customHeight="1" x14ac:dyDescent="0.4">
      <c r="A59" s="168"/>
      <c r="B59" s="186"/>
      <c r="C59" s="169"/>
      <c r="D59" s="169" t="s">
        <v>96</v>
      </c>
      <c r="E59" s="170">
        <v>2.5</v>
      </c>
      <c r="F59" s="171" t="s">
        <v>20</v>
      </c>
      <c r="G59" s="172">
        <v>6584074000</v>
      </c>
      <c r="H59" s="174"/>
      <c r="I59" s="170"/>
      <c r="J59" s="173"/>
      <c r="K59" s="170">
        <v>2.5</v>
      </c>
      <c r="L59" s="171" t="s">
        <v>20</v>
      </c>
      <c r="M59" s="172">
        <f>M60+M66+M69</f>
        <v>1274984820</v>
      </c>
      <c r="N59" s="182">
        <v>25</v>
      </c>
      <c r="O59" s="172">
        <f>O60+O66+O69</f>
        <v>30678915</v>
      </c>
      <c r="P59" s="172">
        <v>25</v>
      </c>
      <c r="Q59" s="172">
        <f>Q60+Q66+Q69</f>
        <v>542282955</v>
      </c>
      <c r="R59" s="170"/>
      <c r="S59" s="172"/>
      <c r="T59" s="174"/>
      <c r="U59" s="172"/>
      <c r="V59" s="174">
        <f>N59+P59+R59+T59</f>
        <v>50</v>
      </c>
      <c r="W59" s="172">
        <f>O59+Q59+S59+U59</f>
        <v>572961870</v>
      </c>
      <c r="X59" s="174">
        <f>H59+V59</f>
        <v>50</v>
      </c>
      <c r="Y59" s="172">
        <f>J59+W59</f>
        <v>572961870</v>
      </c>
      <c r="Z59" s="182">
        <f>(X59/E59)*100</f>
        <v>2000</v>
      </c>
      <c r="AA59" s="174">
        <f>(Y59/G59)*100</f>
        <v>8.7022392214911317</v>
      </c>
      <c r="AB59" s="176"/>
      <c r="AC59" s="227"/>
    </row>
    <row r="60" spans="1:29" s="56" customFormat="1" ht="131.25" customHeight="1" x14ac:dyDescent="0.4">
      <c r="A60" s="47"/>
      <c r="B60" s="66"/>
      <c r="C60" s="48" t="s">
        <v>97</v>
      </c>
      <c r="D60" s="48" t="s">
        <v>98</v>
      </c>
      <c r="E60" s="52">
        <v>50</v>
      </c>
      <c r="F60" s="50" t="s">
        <v>20</v>
      </c>
      <c r="G60" s="51">
        <v>6584074000</v>
      </c>
      <c r="H60" s="52"/>
      <c r="I60" s="52"/>
      <c r="J60" s="84"/>
      <c r="K60" s="52">
        <v>50</v>
      </c>
      <c r="L60" s="67" t="s">
        <v>20</v>
      </c>
      <c r="M60" s="51">
        <f>M62+M63+M64</f>
        <v>1160222180</v>
      </c>
      <c r="N60" s="52"/>
      <c r="O60" s="51">
        <f>SUM(O62:O64)</f>
        <v>30678915</v>
      </c>
      <c r="P60" s="51"/>
      <c r="Q60" s="51">
        <f>SUM(Q62:Q64)</f>
        <v>450162955</v>
      </c>
      <c r="R60" s="52"/>
      <c r="S60" s="51"/>
      <c r="T60" s="49"/>
      <c r="U60" s="51"/>
      <c r="V60" s="49">
        <f>N60+P60+R60+T60</f>
        <v>0</v>
      </c>
      <c r="W60" s="51">
        <f>O60+Q60+S60+U60</f>
        <v>480841870</v>
      </c>
      <c r="X60" s="49">
        <f>H60+V60</f>
        <v>0</v>
      </c>
      <c r="Y60" s="51">
        <f>J60+W60</f>
        <v>480841870</v>
      </c>
      <c r="Z60" s="54">
        <f>(X60/E60)*100</f>
        <v>0</v>
      </c>
      <c r="AA60" s="49">
        <f>(Y60/G60)*100</f>
        <v>7.3031054936502846</v>
      </c>
      <c r="AB60" s="55"/>
      <c r="AC60" s="218"/>
    </row>
    <row r="61" spans="1:29" s="94" customFormat="1" ht="179.25" customHeight="1" x14ac:dyDescent="0.4">
      <c r="A61" s="23"/>
      <c r="B61" s="69"/>
      <c r="C61" s="197" t="s">
        <v>99</v>
      </c>
      <c r="D61" s="25" t="s">
        <v>100</v>
      </c>
      <c r="E61" s="90">
        <v>48</v>
      </c>
      <c r="F61" s="93" t="s">
        <v>101</v>
      </c>
      <c r="G61" s="73">
        <f>367000000+76000000</f>
        <v>443000000</v>
      </c>
      <c r="H61" s="29">
        <v>48</v>
      </c>
      <c r="I61" s="29" t="s">
        <v>101</v>
      </c>
      <c r="J61" s="74">
        <v>421297860</v>
      </c>
      <c r="K61" s="90"/>
      <c r="L61" s="93"/>
      <c r="M61" s="73"/>
      <c r="N61" s="29"/>
      <c r="O61" s="39"/>
      <c r="P61" s="29"/>
      <c r="Q61" s="30"/>
      <c r="R61" s="29"/>
      <c r="S61" s="30"/>
      <c r="T61" s="29"/>
      <c r="U61" s="30"/>
      <c r="V61" s="39"/>
      <c r="W61" s="39"/>
      <c r="X61" s="39"/>
      <c r="Y61" s="39"/>
      <c r="Z61" s="39"/>
      <c r="AA61" s="39"/>
      <c r="AB61" s="40"/>
      <c r="AC61" s="230"/>
    </row>
    <row r="62" spans="1:29" s="94" customFormat="1" ht="141.75" customHeight="1" x14ac:dyDescent="0.4">
      <c r="A62" s="23"/>
      <c r="B62" s="69"/>
      <c r="C62" s="25"/>
      <c r="D62" s="25" t="s">
        <v>102</v>
      </c>
      <c r="E62" s="90">
        <v>432</v>
      </c>
      <c r="F62" s="93" t="s">
        <v>41</v>
      </c>
      <c r="G62" s="73">
        <v>2892384000</v>
      </c>
      <c r="H62" s="29"/>
      <c r="I62" s="29"/>
      <c r="J62" s="74"/>
      <c r="K62" s="90">
        <v>80</v>
      </c>
      <c r="L62" s="93" t="s">
        <v>41</v>
      </c>
      <c r="M62" s="73">
        <v>127043880</v>
      </c>
      <c r="N62" s="240"/>
      <c r="O62" s="30">
        <f>10224505+10227205+10227205</f>
        <v>30678915</v>
      </c>
      <c r="P62" s="27"/>
      <c r="Q62" s="30">
        <f>10903110+20454410+62036435</f>
        <v>93393955</v>
      </c>
      <c r="R62" s="33"/>
      <c r="S62" s="30"/>
      <c r="T62" s="33"/>
      <c r="U62" s="30"/>
      <c r="V62" s="36">
        <f t="shared" ref="V62:W64" si="5">N62+P62+R62+T62</f>
        <v>0</v>
      </c>
      <c r="W62" s="34">
        <f t="shared" si="5"/>
        <v>124072870</v>
      </c>
      <c r="X62" s="36">
        <f>H62+V62</f>
        <v>0</v>
      </c>
      <c r="Y62" s="34">
        <f>J62+W62</f>
        <v>124072870</v>
      </c>
      <c r="Z62" s="36">
        <f>(X62/E62)*100</f>
        <v>0</v>
      </c>
      <c r="AA62" s="77">
        <f>(Y62/G62)*100</f>
        <v>4.2896403105535086</v>
      </c>
      <c r="AB62" s="37"/>
      <c r="AC62" s="230"/>
    </row>
    <row r="63" spans="1:29" s="94" customFormat="1" ht="243" customHeight="1" x14ac:dyDescent="0.4">
      <c r="A63" s="23"/>
      <c r="B63" s="69"/>
      <c r="C63" s="197" t="s">
        <v>103</v>
      </c>
      <c r="D63" s="25" t="s">
        <v>104</v>
      </c>
      <c r="E63" s="90">
        <v>20</v>
      </c>
      <c r="F63" s="93" t="s">
        <v>105</v>
      </c>
      <c r="G63" s="73">
        <v>120000000</v>
      </c>
      <c r="H63" s="29"/>
      <c r="I63" s="29"/>
      <c r="J63" s="74"/>
      <c r="K63" s="90">
        <v>5</v>
      </c>
      <c r="L63" s="93" t="s">
        <v>106</v>
      </c>
      <c r="M63" s="73">
        <v>167319800</v>
      </c>
      <c r="N63" s="29"/>
      <c r="O63" s="30">
        <f>0+0+0</f>
        <v>0</v>
      </c>
      <c r="P63" s="29">
        <v>2</v>
      </c>
      <c r="Q63" s="30">
        <v>0</v>
      </c>
      <c r="R63" s="29"/>
      <c r="S63" s="30"/>
      <c r="T63" s="29"/>
      <c r="U63" s="30"/>
      <c r="V63" s="36">
        <f t="shared" si="5"/>
        <v>2</v>
      </c>
      <c r="W63" s="34">
        <f t="shared" si="5"/>
        <v>0</v>
      </c>
      <c r="X63" s="36">
        <f>H63+V63</f>
        <v>2</v>
      </c>
      <c r="Y63" s="34">
        <f>J63+W63</f>
        <v>0</v>
      </c>
      <c r="Z63" s="36">
        <f>(X63/E63)*100</f>
        <v>10</v>
      </c>
      <c r="AA63" s="77">
        <f>(Y63/G63)*100</f>
        <v>0</v>
      </c>
      <c r="AB63" s="37"/>
      <c r="AC63" s="230"/>
    </row>
    <row r="64" spans="1:29" s="94" customFormat="1" ht="131.25" customHeight="1" x14ac:dyDescent="0.4">
      <c r="A64" s="23"/>
      <c r="B64" s="69"/>
      <c r="C64" s="197" t="s">
        <v>107</v>
      </c>
      <c r="D64" s="25" t="s">
        <v>108</v>
      </c>
      <c r="E64" s="90">
        <v>20</v>
      </c>
      <c r="F64" s="93" t="s">
        <v>109</v>
      </c>
      <c r="G64" s="73">
        <v>3100000000</v>
      </c>
      <c r="H64" s="29"/>
      <c r="I64" s="29"/>
      <c r="J64" s="74"/>
      <c r="K64" s="90">
        <v>5</v>
      </c>
      <c r="L64" s="93" t="s">
        <v>110</v>
      </c>
      <c r="M64" s="73">
        <v>865858500</v>
      </c>
      <c r="N64" s="29"/>
      <c r="O64" s="30">
        <f>0+0+0</f>
        <v>0</v>
      </c>
      <c r="P64" s="29">
        <v>2</v>
      </c>
      <c r="Q64" s="30">
        <f>356769000+0+0</f>
        <v>356769000</v>
      </c>
      <c r="R64" s="29"/>
      <c r="S64" s="30"/>
      <c r="T64" s="29"/>
      <c r="U64" s="30"/>
      <c r="V64" s="36">
        <f t="shared" si="5"/>
        <v>2</v>
      </c>
      <c r="W64" s="34">
        <f t="shared" si="5"/>
        <v>356769000</v>
      </c>
      <c r="X64" s="36">
        <f>H64+V64</f>
        <v>2</v>
      </c>
      <c r="Y64" s="34">
        <f>J64+W64</f>
        <v>356769000</v>
      </c>
      <c r="Z64" s="36">
        <f>(X64/E64)*100</f>
        <v>10</v>
      </c>
      <c r="AA64" s="77">
        <f>(Y64/G64)*100</f>
        <v>11.508677419354839</v>
      </c>
      <c r="AB64" s="37"/>
      <c r="AC64" s="230"/>
    </row>
    <row r="65" spans="1:29" s="56" customFormat="1" ht="149.25" customHeight="1" x14ac:dyDescent="0.4">
      <c r="A65" s="47"/>
      <c r="B65" s="66"/>
      <c r="C65" s="48" t="s">
        <v>111</v>
      </c>
      <c r="D65" s="48" t="s">
        <v>112</v>
      </c>
      <c r="E65" s="52">
        <v>100</v>
      </c>
      <c r="F65" s="50" t="s">
        <v>20</v>
      </c>
      <c r="G65" s="51">
        <v>55000000</v>
      </c>
      <c r="H65" s="52">
        <v>50</v>
      </c>
      <c r="I65" s="52" t="s">
        <v>20</v>
      </c>
      <c r="J65" s="84">
        <v>47912600</v>
      </c>
      <c r="K65" s="53"/>
      <c r="L65" s="50"/>
      <c r="M65" s="51"/>
      <c r="N65" s="52"/>
      <c r="O65" s="51"/>
      <c r="P65" s="52"/>
      <c r="Q65" s="51"/>
      <c r="R65" s="52"/>
      <c r="S65" s="51"/>
      <c r="T65" s="52"/>
      <c r="U65" s="53"/>
      <c r="V65" s="49"/>
      <c r="W65" s="51"/>
      <c r="X65" s="49"/>
      <c r="Y65" s="51"/>
      <c r="Z65" s="54"/>
      <c r="AA65" s="68"/>
      <c r="AB65" s="55"/>
      <c r="AC65" s="218"/>
    </row>
    <row r="66" spans="1:29" s="56" customFormat="1" ht="141" customHeight="1" x14ac:dyDescent="0.4">
      <c r="A66" s="47"/>
      <c r="B66" s="66"/>
      <c r="C66" s="48"/>
      <c r="D66" s="48" t="s">
        <v>112</v>
      </c>
      <c r="E66" s="52">
        <v>100</v>
      </c>
      <c r="F66" s="50" t="s">
        <v>20</v>
      </c>
      <c r="G66" s="51">
        <v>279345000</v>
      </c>
      <c r="H66" s="52"/>
      <c r="I66" s="52"/>
      <c r="J66" s="84"/>
      <c r="K66" s="52">
        <v>100</v>
      </c>
      <c r="L66" s="50" t="s">
        <v>20</v>
      </c>
      <c r="M66" s="51">
        <f>M68</f>
        <v>54763040</v>
      </c>
      <c r="N66" s="52">
        <v>25</v>
      </c>
      <c r="O66" s="51">
        <f>O68</f>
        <v>0</v>
      </c>
      <c r="P66" s="51">
        <v>25</v>
      </c>
      <c r="Q66" s="51">
        <f>Q68</f>
        <v>92120000</v>
      </c>
      <c r="R66" s="52"/>
      <c r="S66" s="51"/>
      <c r="T66" s="52"/>
      <c r="U66" s="53"/>
      <c r="V66" s="49">
        <f>N66+P66+R66+T66</f>
        <v>50</v>
      </c>
      <c r="W66" s="51">
        <f>O66+Q66+S66+U66</f>
        <v>92120000</v>
      </c>
      <c r="X66" s="49">
        <f>H66+V66</f>
        <v>50</v>
      </c>
      <c r="Y66" s="51">
        <f>J66+W66</f>
        <v>92120000</v>
      </c>
      <c r="Z66" s="49">
        <f>(X66/E66)*100</f>
        <v>50</v>
      </c>
      <c r="AA66" s="49">
        <f>(Y66/G66)*100</f>
        <v>32.977142959422935</v>
      </c>
      <c r="AB66" s="55"/>
      <c r="AC66" s="218"/>
    </row>
    <row r="67" spans="1:29" s="2" customFormat="1" ht="116.25" customHeight="1" x14ac:dyDescent="0.4">
      <c r="A67" s="23"/>
      <c r="B67" s="69"/>
      <c r="C67" s="197" t="s">
        <v>113</v>
      </c>
      <c r="D67" s="25" t="s">
        <v>114</v>
      </c>
      <c r="E67" s="57">
        <v>20</v>
      </c>
      <c r="F67" s="57" t="s">
        <v>115</v>
      </c>
      <c r="G67" s="73">
        <v>55000000</v>
      </c>
      <c r="H67" s="33">
        <v>20</v>
      </c>
      <c r="I67" s="33" t="s">
        <v>115</v>
      </c>
      <c r="J67" s="88">
        <v>47912600</v>
      </c>
      <c r="K67" s="76"/>
      <c r="L67" s="95"/>
      <c r="M67" s="30"/>
      <c r="N67" s="33"/>
      <c r="O67" s="34"/>
      <c r="P67" s="33"/>
      <c r="Q67" s="30"/>
      <c r="R67" s="33"/>
      <c r="S67" s="34"/>
      <c r="T67" s="33"/>
      <c r="U67" s="34"/>
      <c r="V67" s="33"/>
      <c r="W67" s="34"/>
      <c r="X67" s="33"/>
      <c r="Y67" s="34"/>
      <c r="Z67" s="36"/>
      <c r="AA67" s="36"/>
      <c r="AB67" s="37"/>
      <c r="AC67" s="231"/>
    </row>
    <row r="68" spans="1:29" s="96" customFormat="1" ht="83.25" customHeight="1" x14ac:dyDescent="0.4">
      <c r="A68" s="23"/>
      <c r="B68" s="69"/>
      <c r="C68" s="25"/>
      <c r="D68" s="25" t="s">
        <v>116</v>
      </c>
      <c r="E68" s="57">
        <v>20</v>
      </c>
      <c r="F68" s="57" t="s">
        <v>105</v>
      </c>
      <c r="G68" s="73">
        <v>224345000</v>
      </c>
      <c r="H68" s="33"/>
      <c r="I68" s="33"/>
      <c r="J68" s="88"/>
      <c r="K68" s="57">
        <v>20</v>
      </c>
      <c r="L68" s="57" t="s">
        <v>105</v>
      </c>
      <c r="M68" s="30">
        <v>54763040</v>
      </c>
      <c r="N68" s="33"/>
      <c r="O68" s="34">
        <f>0+0+0</f>
        <v>0</v>
      </c>
      <c r="P68" s="43">
        <v>20</v>
      </c>
      <c r="Q68" s="30">
        <f>46060000+0+46060000</f>
        <v>92120000</v>
      </c>
      <c r="R68" s="33"/>
      <c r="S68" s="34"/>
      <c r="T68" s="33"/>
      <c r="U68" s="34"/>
      <c r="V68" s="36">
        <f>N68+P68+R68+T68</f>
        <v>20</v>
      </c>
      <c r="W68" s="34">
        <f>O68+Q68+S68+U68</f>
        <v>92120000</v>
      </c>
      <c r="X68" s="36">
        <f>H68+V68</f>
        <v>20</v>
      </c>
      <c r="Y68" s="34">
        <f>J68+W68</f>
        <v>92120000</v>
      </c>
      <c r="Z68" s="36">
        <f>(X68/E68)*100</f>
        <v>100</v>
      </c>
      <c r="AA68" s="36">
        <f>(Y68/G68)*100</f>
        <v>41.061757560899508</v>
      </c>
      <c r="AB68" s="37"/>
      <c r="AC68" s="232"/>
    </row>
    <row r="69" spans="1:29" s="56" customFormat="1" ht="157.5" customHeight="1" x14ac:dyDescent="0.4">
      <c r="A69" s="47"/>
      <c r="B69" s="66"/>
      <c r="C69" s="48" t="s">
        <v>117</v>
      </c>
      <c r="D69" s="48" t="s">
        <v>118</v>
      </c>
      <c r="E69" s="52">
        <v>50</v>
      </c>
      <c r="F69" s="50" t="s">
        <v>20</v>
      </c>
      <c r="G69" s="51">
        <v>297345000</v>
      </c>
      <c r="H69" s="52"/>
      <c r="I69" s="52"/>
      <c r="J69" s="84"/>
      <c r="K69" s="52">
        <v>50</v>
      </c>
      <c r="L69" s="67" t="s">
        <v>20</v>
      </c>
      <c r="M69" s="51">
        <f>M71</f>
        <v>59999600</v>
      </c>
      <c r="N69" s="52">
        <v>25</v>
      </c>
      <c r="O69" s="51">
        <f>O71</f>
        <v>0</v>
      </c>
      <c r="P69" s="51">
        <v>25</v>
      </c>
      <c r="Q69" s="51">
        <f>Q71</f>
        <v>0</v>
      </c>
      <c r="R69" s="52"/>
      <c r="S69" s="97"/>
      <c r="T69" s="49"/>
      <c r="U69" s="51"/>
      <c r="V69" s="49">
        <f>N69+P69+R69+T69</f>
        <v>50</v>
      </c>
      <c r="W69" s="51">
        <f>O69+Q69+S69+U69</f>
        <v>0</v>
      </c>
      <c r="X69" s="49">
        <f>H69+V69</f>
        <v>50</v>
      </c>
      <c r="Y69" s="51">
        <f>J69+W69</f>
        <v>0</v>
      </c>
      <c r="Z69" s="49">
        <f>(X69/E69)*100</f>
        <v>100</v>
      </c>
      <c r="AA69" s="49">
        <f>(Y69/G69)*100</f>
        <v>0</v>
      </c>
      <c r="AB69" s="55"/>
      <c r="AC69" s="218"/>
    </row>
    <row r="70" spans="1:29" s="96" customFormat="1" ht="126" customHeight="1" x14ac:dyDescent="0.4">
      <c r="A70" s="23"/>
      <c r="B70" s="69"/>
      <c r="C70" s="197" t="s">
        <v>119</v>
      </c>
      <c r="D70" s="25" t="s">
        <v>120</v>
      </c>
      <c r="E70" s="29">
        <v>20</v>
      </c>
      <c r="F70" s="31" t="s">
        <v>41</v>
      </c>
      <c r="G70" s="34">
        <v>297345000</v>
      </c>
      <c r="H70" s="29"/>
      <c r="I70" s="29"/>
      <c r="J70" s="74"/>
      <c r="K70" s="29">
        <v>20</v>
      </c>
      <c r="L70" s="31" t="s">
        <v>41</v>
      </c>
      <c r="M70" s="30">
        <v>53844800</v>
      </c>
      <c r="N70" s="33"/>
      <c r="O70" s="34"/>
      <c r="P70" s="32"/>
      <c r="Q70" s="34"/>
      <c r="R70" s="29"/>
      <c r="S70" s="98"/>
      <c r="T70" s="29"/>
      <c r="U70" s="30"/>
      <c r="V70" s="36"/>
      <c r="W70" s="34"/>
      <c r="X70" s="36"/>
      <c r="Y70" s="34"/>
      <c r="Z70" s="36"/>
      <c r="AA70" s="36"/>
      <c r="AB70" s="37"/>
      <c r="AC70" s="232"/>
    </row>
    <row r="71" spans="1:29" s="96" customFormat="1" ht="126" customHeight="1" x14ac:dyDescent="0.4">
      <c r="A71" s="23"/>
      <c r="B71" s="69"/>
      <c r="C71" s="25"/>
      <c r="D71" s="25" t="s">
        <v>207</v>
      </c>
      <c r="E71" s="29">
        <v>8</v>
      </c>
      <c r="F71" s="31" t="s">
        <v>27</v>
      </c>
      <c r="G71" s="34">
        <v>297345000</v>
      </c>
      <c r="H71" s="29"/>
      <c r="I71" s="29"/>
      <c r="J71" s="74"/>
      <c r="K71" s="29">
        <v>2</v>
      </c>
      <c r="L71" s="31" t="s">
        <v>27</v>
      </c>
      <c r="M71" s="30">
        <v>59999600</v>
      </c>
      <c r="N71" s="33"/>
      <c r="O71" s="34">
        <f>0+0+0</f>
        <v>0</v>
      </c>
      <c r="P71" s="32"/>
      <c r="Q71" s="34">
        <f>0+0+0</f>
        <v>0</v>
      </c>
      <c r="R71" s="29"/>
      <c r="S71" s="30"/>
      <c r="T71" s="29"/>
      <c r="U71" s="30"/>
      <c r="V71" s="36">
        <f>N71+P71+R71+T71</f>
        <v>0</v>
      </c>
      <c r="W71" s="34">
        <f t="shared" ref="W71" si="6">O71+Q71+S71+U71</f>
        <v>0</v>
      </c>
      <c r="X71" s="36">
        <f>H71+V71</f>
        <v>0</v>
      </c>
      <c r="Y71" s="34">
        <f t="shared" ref="Y71" si="7">J71+W71</f>
        <v>0</v>
      </c>
      <c r="Z71" s="36">
        <f>(X71/E71)*100</f>
        <v>0</v>
      </c>
      <c r="AA71" s="36">
        <f>(Y71/G71)*100</f>
        <v>0</v>
      </c>
      <c r="AB71" s="37"/>
      <c r="AC71" s="232"/>
    </row>
    <row r="72" spans="1:29" s="38" customFormat="1" ht="47.25" customHeight="1" x14ac:dyDescent="0.4">
      <c r="A72" s="23"/>
      <c r="B72" s="69"/>
      <c r="C72" s="25"/>
      <c r="D72" s="25"/>
      <c r="E72" s="29"/>
      <c r="F72" s="31"/>
      <c r="G72" s="34"/>
      <c r="H72" s="33"/>
      <c r="I72" s="33"/>
      <c r="J72" s="88"/>
      <c r="K72" s="76"/>
      <c r="L72" s="31"/>
      <c r="M72" s="34"/>
      <c r="N72" s="33"/>
      <c r="O72" s="34"/>
      <c r="P72" s="32"/>
      <c r="Q72" s="34"/>
      <c r="R72" s="32"/>
      <c r="S72" s="32"/>
      <c r="T72" s="33"/>
      <c r="U72" s="32"/>
      <c r="V72" s="33"/>
      <c r="W72" s="34"/>
      <c r="X72" s="33"/>
      <c r="Y72" s="34"/>
      <c r="Z72" s="46">
        <f>(Z62+Z63+Z64+Z68+Z71)/5</f>
        <v>24</v>
      </c>
      <c r="AA72" s="46">
        <f>(AA62+AA63+AA64+AA68+AA71)/5</f>
        <v>11.372015058161571</v>
      </c>
      <c r="AB72" s="37"/>
      <c r="AC72" s="229"/>
    </row>
    <row r="73" spans="1:29" s="9" customFormat="1" ht="132.75" customHeight="1" x14ac:dyDescent="0.4">
      <c r="A73" s="177">
        <v>8</v>
      </c>
      <c r="B73" s="186"/>
      <c r="C73" s="169" t="s">
        <v>121</v>
      </c>
      <c r="D73" s="169" t="s">
        <v>122</v>
      </c>
      <c r="E73" s="170">
        <v>18</v>
      </c>
      <c r="F73" s="171" t="s">
        <v>20</v>
      </c>
      <c r="G73" s="172">
        <v>486040000</v>
      </c>
      <c r="H73" s="170">
        <v>18</v>
      </c>
      <c r="I73" s="170" t="s">
        <v>20</v>
      </c>
      <c r="J73" s="173">
        <v>301186800</v>
      </c>
      <c r="K73" s="175"/>
      <c r="L73" s="187"/>
      <c r="M73" s="172"/>
      <c r="N73" s="170"/>
      <c r="O73" s="179"/>
      <c r="P73" s="175"/>
      <c r="Q73" s="179"/>
      <c r="R73" s="170"/>
      <c r="S73" s="172"/>
      <c r="T73" s="170"/>
      <c r="U73" s="175"/>
      <c r="V73" s="182"/>
      <c r="W73" s="172"/>
      <c r="X73" s="170"/>
      <c r="Y73" s="172"/>
      <c r="Z73" s="188"/>
      <c r="AA73" s="174"/>
      <c r="AB73" s="176"/>
      <c r="AC73" s="227"/>
    </row>
    <row r="74" spans="1:29" s="9" customFormat="1" ht="250.5" customHeight="1" x14ac:dyDescent="0.4">
      <c r="A74" s="168"/>
      <c r="B74" s="186"/>
      <c r="C74" s="169"/>
      <c r="D74" s="169" t="s">
        <v>123</v>
      </c>
      <c r="E74" s="174">
        <v>23.6</v>
      </c>
      <c r="F74" s="171" t="s">
        <v>20</v>
      </c>
      <c r="G74" s="172">
        <v>2889854000</v>
      </c>
      <c r="H74" s="170"/>
      <c r="I74" s="170"/>
      <c r="J74" s="173"/>
      <c r="K74" s="207">
        <v>22.8</v>
      </c>
      <c r="L74" s="187" t="s">
        <v>20</v>
      </c>
      <c r="M74" s="172">
        <f>M76+M85</f>
        <v>661369500</v>
      </c>
      <c r="N74" s="174">
        <v>5.75</v>
      </c>
      <c r="O74" s="172">
        <f>O76+O85</f>
        <v>17580000</v>
      </c>
      <c r="P74" s="194">
        <v>5.7</v>
      </c>
      <c r="Q74" s="172">
        <f>Q76+Q85</f>
        <v>49163000</v>
      </c>
      <c r="R74" s="174">
        <v>0</v>
      </c>
      <c r="S74" s="172">
        <f>S76+S85</f>
        <v>0</v>
      </c>
      <c r="T74" s="174">
        <v>0</v>
      </c>
      <c r="U74" s="172">
        <f>U76+U85</f>
        <v>0</v>
      </c>
      <c r="V74" s="174">
        <f>N74+P74+R74+T74</f>
        <v>11.45</v>
      </c>
      <c r="W74" s="172">
        <f t="shared" ref="W74" si="8">O74+Q74+S74+U74</f>
        <v>66743000</v>
      </c>
      <c r="X74" s="174">
        <f>H74+V74</f>
        <v>11.45</v>
      </c>
      <c r="Y74" s="172">
        <f>J74+W74</f>
        <v>66743000</v>
      </c>
      <c r="Z74" s="174">
        <f>(X74/E74)*100</f>
        <v>48.516949152542367</v>
      </c>
      <c r="AA74" s="174">
        <f>(Y74/G74)*100</f>
        <v>2.3095630436693342</v>
      </c>
      <c r="AB74" s="176"/>
      <c r="AC74" s="227"/>
    </row>
    <row r="75" spans="1:29" s="56" customFormat="1" ht="167.25" customHeight="1" x14ac:dyDescent="0.4">
      <c r="A75" s="47"/>
      <c r="B75" s="66"/>
      <c r="C75" s="48" t="s">
        <v>124</v>
      </c>
      <c r="D75" s="48" t="s">
        <v>125</v>
      </c>
      <c r="E75" s="52">
        <v>100</v>
      </c>
      <c r="F75" s="50" t="s">
        <v>20</v>
      </c>
      <c r="G75" s="51">
        <v>215240000</v>
      </c>
      <c r="H75" s="52">
        <v>94.29</v>
      </c>
      <c r="I75" s="52" t="s">
        <v>20</v>
      </c>
      <c r="J75" s="84">
        <v>121472600</v>
      </c>
      <c r="K75" s="53"/>
      <c r="L75" s="50"/>
      <c r="M75" s="51"/>
      <c r="N75" s="49"/>
      <c r="O75" s="62"/>
      <c r="P75" s="68"/>
      <c r="Q75" s="62"/>
      <c r="R75" s="52"/>
      <c r="S75" s="51"/>
      <c r="T75" s="52"/>
      <c r="U75" s="99"/>
      <c r="V75" s="52"/>
      <c r="W75" s="51"/>
      <c r="X75" s="52"/>
      <c r="Y75" s="51"/>
      <c r="Z75" s="49"/>
      <c r="AA75" s="49"/>
      <c r="AB75" s="55"/>
      <c r="AC75" s="218"/>
    </row>
    <row r="76" spans="1:29" s="56" customFormat="1" ht="139.5" customHeight="1" x14ac:dyDescent="0.4">
      <c r="A76" s="47"/>
      <c r="B76" s="66"/>
      <c r="C76" s="48"/>
      <c r="D76" s="48" t="s">
        <v>126</v>
      </c>
      <c r="E76" s="49">
        <v>8.6999999999999993</v>
      </c>
      <c r="F76" s="50" t="s">
        <v>20</v>
      </c>
      <c r="G76" s="51">
        <v>1565938000</v>
      </c>
      <c r="H76" s="52"/>
      <c r="I76" s="52"/>
      <c r="J76" s="84"/>
      <c r="K76" s="49">
        <v>8.4</v>
      </c>
      <c r="L76" s="50" t="s">
        <v>20</v>
      </c>
      <c r="M76" s="51">
        <f>M78+M80+M82</f>
        <v>340569800</v>
      </c>
      <c r="N76" s="49">
        <v>2.1</v>
      </c>
      <c r="O76" s="51">
        <f>O78+O80+O82</f>
        <v>17580000</v>
      </c>
      <c r="P76" s="51">
        <v>2.1</v>
      </c>
      <c r="Q76" s="51">
        <f>Q78+Q80+Q82</f>
        <v>40697000</v>
      </c>
      <c r="R76" s="49"/>
      <c r="S76" s="51">
        <f>S78+S80+S82</f>
        <v>0</v>
      </c>
      <c r="T76" s="52"/>
      <c r="U76" s="51">
        <f>U78+U80+U82</f>
        <v>0</v>
      </c>
      <c r="V76" s="101">
        <f>N76+P76+R76+T76</f>
        <v>4.2</v>
      </c>
      <c r="W76" s="99">
        <f t="shared" ref="W76" si="9">O76+Q76+S76+U76</f>
        <v>58277000</v>
      </c>
      <c r="X76" s="101">
        <f>H76+V76</f>
        <v>4.2</v>
      </c>
      <c r="Y76" s="99">
        <f>J76+W76</f>
        <v>58277000</v>
      </c>
      <c r="Z76" s="101">
        <f>(X76/E76)*100</f>
        <v>48.275862068965523</v>
      </c>
      <c r="AA76" s="101">
        <f>(Y76/G76)*100</f>
        <v>3.7215394223781528</v>
      </c>
      <c r="AB76" s="55"/>
      <c r="AC76" s="218"/>
    </row>
    <row r="77" spans="1:29" s="38" customFormat="1" ht="138" customHeight="1" x14ac:dyDescent="0.4">
      <c r="A77" s="23"/>
      <c r="B77" s="69"/>
      <c r="C77" s="198" t="s">
        <v>127</v>
      </c>
      <c r="D77" s="71" t="s">
        <v>128</v>
      </c>
      <c r="E77" s="57">
        <v>15</v>
      </c>
      <c r="F77" s="57" t="s">
        <v>129</v>
      </c>
      <c r="G77" s="102">
        <v>10000000</v>
      </c>
      <c r="H77" s="29">
        <v>15</v>
      </c>
      <c r="I77" s="29" t="s">
        <v>129</v>
      </c>
      <c r="J77" s="74">
        <v>8329200</v>
      </c>
      <c r="K77" s="103"/>
      <c r="L77" s="29"/>
      <c r="M77" s="102"/>
      <c r="N77" s="33"/>
      <c r="O77" s="34"/>
      <c r="P77" s="32"/>
      <c r="Q77" s="30"/>
      <c r="R77" s="29"/>
      <c r="S77" s="30"/>
      <c r="T77" s="29"/>
      <c r="U77" s="30"/>
      <c r="V77" s="29"/>
      <c r="W77" s="30"/>
      <c r="X77" s="29"/>
      <c r="Y77" s="30"/>
      <c r="Z77" s="59"/>
      <c r="AA77" s="41"/>
      <c r="AB77" s="37"/>
      <c r="AC77" s="229"/>
    </row>
    <row r="78" spans="1:29" s="104" customFormat="1" ht="120.75" customHeight="1" x14ac:dyDescent="0.4">
      <c r="A78" s="23"/>
      <c r="B78" s="69"/>
      <c r="C78" s="70"/>
      <c r="D78" s="71" t="s">
        <v>130</v>
      </c>
      <c r="E78" s="57">
        <v>80</v>
      </c>
      <c r="F78" s="57" t="s">
        <v>41</v>
      </c>
      <c r="G78" s="102">
        <v>39845000</v>
      </c>
      <c r="H78" s="29"/>
      <c r="I78" s="29"/>
      <c r="J78" s="74"/>
      <c r="K78" s="103">
        <v>20</v>
      </c>
      <c r="L78" s="29" t="s">
        <v>41</v>
      </c>
      <c r="M78" s="102">
        <v>10000000</v>
      </c>
      <c r="N78" s="29"/>
      <c r="O78" s="74">
        <f>0+0+0</f>
        <v>0</v>
      </c>
      <c r="P78" s="29">
        <v>20</v>
      </c>
      <c r="Q78" s="30">
        <f>0+0+0</f>
        <v>0</v>
      </c>
      <c r="R78" s="29"/>
      <c r="S78" s="30"/>
      <c r="T78" s="29"/>
      <c r="U78" s="30"/>
      <c r="V78" s="41">
        <f>N78+P78+R78+T78</f>
        <v>20</v>
      </c>
      <c r="W78" s="30">
        <f t="shared" ref="W78" si="10">O78+Q78+S78+U78</f>
        <v>0</v>
      </c>
      <c r="X78" s="29">
        <f>H78+V78</f>
        <v>20</v>
      </c>
      <c r="Y78" s="30">
        <f>J78+W78</f>
        <v>0</v>
      </c>
      <c r="Z78" s="59">
        <f>(X78/E78)*100</f>
        <v>25</v>
      </c>
      <c r="AA78" s="41">
        <f>(Y78/G78)*100</f>
        <v>0</v>
      </c>
      <c r="AB78" s="37"/>
      <c r="AC78" s="233"/>
    </row>
    <row r="79" spans="1:29" s="38" customFormat="1" ht="118.5" customHeight="1" x14ac:dyDescent="0.4">
      <c r="A79" s="23"/>
      <c r="B79" s="69"/>
      <c r="C79" s="198" t="s">
        <v>131</v>
      </c>
      <c r="D79" s="71" t="s">
        <v>132</v>
      </c>
      <c r="E79" s="105">
        <v>100</v>
      </c>
      <c r="F79" s="26" t="s">
        <v>133</v>
      </c>
      <c r="G79" s="73">
        <v>36000000</v>
      </c>
      <c r="H79" s="29">
        <v>100</v>
      </c>
      <c r="I79" s="29" t="s">
        <v>101</v>
      </c>
      <c r="J79" s="74">
        <v>23210000</v>
      </c>
      <c r="K79" s="78"/>
      <c r="L79" s="29"/>
      <c r="M79" s="73"/>
      <c r="N79" s="29"/>
      <c r="O79" s="30"/>
      <c r="P79" s="32"/>
      <c r="Q79" s="30"/>
      <c r="R79" s="29"/>
      <c r="S79" s="30"/>
      <c r="T79" s="29"/>
      <c r="U79" s="30"/>
      <c r="V79" s="41"/>
      <c r="W79" s="30"/>
      <c r="X79" s="29"/>
      <c r="Y79" s="30"/>
      <c r="Z79" s="59"/>
      <c r="AA79" s="41"/>
      <c r="AB79" s="37"/>
      <c r="AC79" s="229"/>
    </row>
    <row r="80" spans="1:29" s="104" customFormat="1" ht="132.75" customHeight="1" x14ac:dyDescent="0.4">
      <c r="A80" s="23"/>
      <c r="B80" s="69"/>
      <c r="C80" s="70"/>
      <c r="D80" s="71" t="s">
        <v>134</v>
      </c>
      <c r="E80" s="105">
        <v>500</v>
      </c>
      <c r="F80" s="26" t="s">
        <v>41</v>
      </c>
      <c r="G80" s="73">
        <v>146445000</v>
      </c>
      <c r="H80" s="29"/>
      <c r="I80" s="29"/>
      <c r="J80" s="74"/>
      <c r="K80" s="78">
        <v>400</v>
      </c>
      <c r="L80" s="29" t="s">
        <v>41</v>
      </c>
      <c r="M80" s="73">
        <v>84000000</v>
      </c>
      <c r="N80" s="29"/>
      <c r="O80" s="30">
        <f>0+0+17580000</f>
        <v>17580000</v>
      </c>
      <c r="P80" s="29">
        <v>100</v>
      </c>
      <c r="Q80" s="30">
        <f>0+0+17580000</f>
        <v>17580000</v>
      </c>
      <c r="R80" s="29"/>
      <c r="S80" s="30"/>
      <c r="T80" s="29"/>
      <c r="U80" s="30"/>
      <c r="V80" s="41">
        <f>N80+P80+R80+T80</f>
        <v>100</v>
      </c>
      <c r="W80" s="30">
        <f t="shared" ref="W80" si="11">O80+Q80+S80+U80</f>
        <v>35160000</v>
      </c>
      <c r="X80" s="41">
        <f>H80+V80</f>
        <v>100</v>
      </c>
      <c r="Y80" s="30">
        <f>J80+W80</f>
        <v>35160000</v>
      </c>
      <c r="Z80" s="59">
        <f>(X80/E80)*100</f>
        <v>20</v>
      </c>
      <c r="AA80" s="41">
        <f>(Y80/G80)*100</f>
        <v>24.009013622861826</v>
      </c>
      <c r="AB80" s="37"/>
      <c r="AC80" s="238" t="s">
        <v>296</v>
      </c>
    </row>
    <row r="81" spans="1:29" s="38" customFormat="1" ht="141.75" customHeight="1" x14ac:dyDescent="0.4">
      <c r="A81" s="23"/>
      <c r="B81" s="69"/>
      <c r="C81" s="198" t="s">
        <v>135</v>
      </c>
      <c r="D81" s="71" t="s">
        <v>136</v>
      </c>
      <c r="E81" s="106">
        <v>24</v>
      </c>
      <c r="F81" s="106" t="s">
        <v>137</v>
      </c>
      <c r="G81" s="73">
        <v>169240000</v>
      </c>
      <c r="H81" s="29">
        <v>24</v>
      </c>
      <c r="I81" s="29" t="s">
        <v>101</v>
      </c>
      <c r="J81" s="74">
        <v>142043400</v>
      </c>
      <c r="K81" s="78"/>
      <c r="L81" s="29"/>
      <c r="M81" s="73"/>
      <c r="N81" s="33"/>
      <c r="O81" s="34"/>
      <c r="P81" s="29"/>
      <c r="Q81" s="30"/>
      <c r="R81" s="29"/>
      <c r="S81" s="107"/>
      <c r="T81" s="29"/>
      <c r="U81" s="30"/>
      <c r="V81" s="41">
        <f t="shared" ref="V81:W82" si="12">N81+P81+R81+T81</f>
        <v>0</v>
      </c>
      <c r="W81" s="30">
        <f t="shared" si="12"/>
        <v>0</v>
      </c>
      <c r="X81" s="39"/>
      <c r="Y81" s="39"/>
      <c r="Z81" s="39"/>
      <c r="AA81" s="39"/>
      <c r="AB81" s="40"/>
      <c r="AC81" s="229"/>
    </row>
    <row r="82" spans="1:29" s="104" customFormat="1" ht="125.25" customHeight="1" x14ac:dyDescent="0.4">
      <c r="A82" s="23"/>
      <c r="B82" s="69"/>
      <c r="C82" s="70"/>
      <c r="D82" s="71" t="s">
        <v>138</v>
      </c>
      <c r="E82" s="106">
        <v>234</v>
      </c>
      <c r="F82" s="106" t="s">
        <v>41</v>
      </c>
      <c r="G82" s="73">
        <v>1379648000</v>
      </c>
      <c r="H82" s="29"/>
      <c r="I82" s="29"/>
      <c r="J82" s="74"/>
      <c r="K82" s="78">
        <v>54</v>
      </c>
      <c r="L82" s="29" t="s">
        <v>41</v>
      </c>
      <c r="M82" s="73">
        <v>246569800</v>
      </c>
      <c r="N82" s="29"/>
      <c r="O82" s="34">
        <f>0+0+0</f>
        <v>0</v>
      </c>
      <c r="P82" s="29">
        <v>6</v>
      </c>
      <c r="Q82" s="30">
        <f>0+0+23117000</f>
        <v>23117000</v>
      </c>
      <c r="R82" s="29"/>
      <c r="S82" s="30"/>
      <c r="T82" s="29"/>
      <c r="U82" s="30"/>
      <c r="V82" s="41">
        <f>N82+P82+R82+T82</f>
        <v>6</v>
      </c>
      <c r="W82" s="30">
        <f t="shared" si="12"/>
        <v>23117000</v>
      </c>
      <c r="X82" s="29">
        <f>H82+V82</f>
        <v>6</v>
      </c>
      <c r="Y82" s="30">
        <f>J82+W82</f>
        <v>23117000</v>
      </c>
      <c r="Z82" s="41">
        <f>(X82/E82)*100</f>
        <v>2.5641025641025639</v>
      </c>
      <c r="AA82" s="41">
        <f>(Y82/G82)*100</f>
        <v>1.6755723198960892</v>
      </c>
      <c r="AB82" s="37"/>
      <c r="AC82" s="233"/>
    </row>
    <row r="83" spans="1:29" s="38" customFormat="1" ht="26.25" customHeight="1" x14ac:dyDescent="0.4">
      <c r="A83" s="23"/>
      <c r="B83" s="69"/>
      <c r="C83" s="70"/>
      <c r="D83" s="71"/>
      <c r="E83" s="106"/>
      <c r="F83" s="106"/>
      <c r="G83" s="73"/>
      <c r="H83" s="33"/>
      <c r="I83" s="33"/>
      <c r="J83" s="88"/>
      <c r="K83" s="78"/>
      <c r="L83" s="33"/>
      <c r="M83" s="73"/>
      <c r="N83" s="33"/>
      <c r="O83" s="34"/>
      <c r="P83" s="32"/>
      <c r="Q83" s="34"/>
      <c r="R83" s="32"/>
      <c r="S83" s="32"/>
      <c r="T83" s="33"/>
      <c r="U83" s="32"/>
      <c r="V83" s="33"/>
      <c r="W83" s="34"/>
      <c r="X83" s="33"/>
      <c r="Y83" s="34"/>
      <c r="Z83" s="46">
        <f>(Z78+Z80+Z82)/3</f>
        <v>15.854700854700853</v>
      </c>
      <c r="AA83" s="46">
        <f>(AA78+AA80+AA82)/3</f>
        <v>8.5615286475859715</v>
      </c>
      <c r="AB83" s="108"/>
      <c r="AC83" s="229"/>
    </row>
    <row r="84" spans="1:29" s="56" customFormat="1" ht="187.5" customHeight="1" x14ac:dyDescent="0.4">
      <c r="A84" s="47"/>
      <c r="B84" s="66"/>
      <c r="C84" s="48" t="s">
        <v>139</v>
      </c>
      <c r="D84" s="48" t="s">
        <v>140</v>
      </c>
      <c r="E84" s="52">
        <v>24.17</v>
      </c>
      <c r="F84" s="50" t="s">
        <v>20</v>
      </c>
      <c r="G84" s="51">
        <v>473200000</v>
      </c>
      <c r="H84" s="52">
        <v>24.17</v>
      </c>
      <c r="I84" s="52" t="s">
        <v>20</v>
      </c>
      <c r="J84" s="84">
        <v>262644600</v>
      </c>
      <c r="K84" s="53"/>
      <c r="L84" s="50"/>
      <c r="M84" s="84"/>
      <c r="N84" s="52"/>
      <c r="O84" s="62"/>
      <c r="P84" s="52"/>
      <c r="Q84" s="62"/>
      <c r="R84" s="53"/>
      <c r="S84" s="51"/>
      <c r="T84" s="52"/>
      <c r="U84" s="51"/>
      <c r="V84" s="49"/>
      <c r="W84" s="51"/>
      <c r="X84" s="52"/>
      <c r="Y84" s="51"/>
      <c r="Z84" s="54"/>
      <c r="AA84" s="68"/>
      <c r="AB84" s="55"/>
      <c r="AC84" s="218"/>
    </row>
    <row r="85" spans="1:29" s="56" customFormat="1" ht="87" customHeight="1" x14ac:dyDescent="0.4">
      <c r="A85" s="47"/>
      <c r="B85" s="66">
        <f>28/4</f>
        <v>7</v>
      </c>
      <c r="C85" s="48"/>
      <c r="D85" s="48" t="s">
        <v>301</v>
      </c>
      <c r="E85" s="52">
        <v>1</v>
      </c>
      <c r="F85" s="67" t="s">
        <v>142</v>
      </c>
      <c r="G85" s="51">
        <v>1323916000</v>
      </c>
      <c r="H85" s="52"/>
      <c r="I85" s="52"/>
      <c r="J85" s="84"/>
      <c r="K85" s="52">
        <v>1</v>
      </c>
      <c r="L85" s="67" t="s">
        <v>142</v>
      </c>
      <c r="M85" s="84">
        <f>M87+M89</f>
        <v>320799700</v>
      </c>
      <c r="N85" s="52">
        <v>7</v>
      </c>
      <c r="O85" s="84">
        <f>O87+O89</f>
        <v>0</v>
      </c>
      <c r="P85" s="84">
        <v>7</v>
      </c>
      <c r="Q85" s="84">
        <f t="shared" ref="Q85" si="13">Q87+Q89</f>
        <v>8466000</v>
      </c>
      <c r="R85" s="52"/>
      <c r="S85" s="51"/>
      <c r="T85" s="52"/>
      <c r="U85" s="51"/>
      <c r="V85" s="49">
        <f>N85+P85+R85+T85</f>
        <v>14</v>
      </c>
      <c r="W85" s="49">
        <f t="shared" ref="W85" si="14">O85+Q85+S85+U85</f>
        <v>8466000</v>
      </c>
      <c r="X85" s="49">
        <f>H85+V85</f>
        <v>14</v>
      </c>
      <c r="Y85" s="68">
        <f>J85+W85</f>
        <v>8466000</v>
      </c>
      <c r="Z85" s="49">
        <f>(X85/E85)*100</f>
        <v>1400</v>
      </c>
      <c r="AA85" s="49">
        <f>(Y85/G85)*100</f>
        <v>0.63946655225860249</v>
      </c>
      <c r="AB85" s="55"/>
      <c r="AC85" s="218"/>
    </row>
    <row r="86" spans="1:29" s="38" customFormat="1" ht="136.5" customHeight="1" x14ac:dyDescent="0.4">
      <c r="A86" s="23"/>
      <c r="B86" s="69"/>
      <c r="C86" s="198" t="s">
        <v>143</v>
      </c>
      <c r="D86" s="109" t="s">
        <v>141</v>
      </c>
      <c r="E86" s="110">
        <v>1</v>
      </c>
      <c r="F86" s="57" t="s">
        <v>142</v>
      </c>
      <c r="G86" s="111">
        <f>59400000+38400000</f>
        <v>97800000</v>
      </c>
      <c r="H86" s="110">
        <v>1</v>
      </c>
      <c r="I86" s="57" t="s">
        <v>142</v>
      </c>
      <c r="J86" s="88">
        <v>92944600</v>
      </c>
      <c r="K86" s="110"/>
      <c r="L86" s="57"/>
      <c r="M86" s="73"/>
      <c r="N86" s="33"/>
      <c r="O86" s="39"/>
      <c r="P86" s="33"/>
      <c r="Q86" s="34"/>
      <c r="R86" s="33"/>
      <c r="S86" s="34"/>
      <c r="T86" s="33"/>
      <c r="U86" s="30"/>
      <c r="V86" s="36"/>
      <c r="W86" s="36"/>
      <c r="X86" s="221"/>
      <c r="Y86" s="221"/>
      <c r="Z86" s="221"/>
      <c r="AA86" s="39"/>
      <c r="AB86" s="40"/>
      <c r="AC86" s="229"/>
    </row>
    <row r="87" spans="1:29" s="38" customFormat="1" ht="176.25" customHeight="1" x14ac:dyDescent="0.4">
      <c r="A87" s="23"/>
      <c r="B87" s="69"/>
      <c r="C87" s="70"/>
      <c r="D87" s="109" t="s">
        <v>144</v>
      </c>
      <c r="E87" s="110">
        <v>6000</v>
      </c>
      <c r="F87" s="57" t="s">
        <v>145</v>
      </c>
      <c r="G87" s="111">
        <v>391200000</v>
      </c>
      <c r="H87" s="110"/>
      <c r="I87" s="57"/>
      <c r="J87" s="88"/>
      <c r="K87" s="110">
        <v>1500</v>
      </c>
      <c r="L87" s="57" t="s">
        <v>41</v>
      </c>
      <c r="M87" s="73">
        <v>97799700</v>
      </c>
      <c r="N87" s="29"/>
      <c r="O87" s="34">
        <f>0+0+0</f>
        <v>0</v>
      </c>
      <c r="P87" s="29">
        <v>528</v>
      </c>
      <c r="Q87" s="30">
        <f>2921000+0+5545000</f>
        <v>8466000</v>
      </c>
      <c r="R87" s="33"/>
      <c r="S87" s="30"/>
      <c r="T87" s="33"/>
      <c r="U87" s="30"/>
      <c r="V87" s="41">
        <f>N87+P87+R87+T87</f>
        <v>528</v>
      </c>
      <c r="W87" s="41">
        <f t="shared" ref="W87" si="15">O87+Q87+S87+U87</f>
        <v>8466000</v>
      </c>
      <c r="X87" s="41">
        <f>H87+V87</f>
        <v>528</v>
      </c>
      <c r="Y87" s="246">
        <f>J87+W87</f>
        <v>8466000</v>
      </c>
      <c r="Z87" s="41">
        <f>(X87/E87)*100</f>
        <v>8.7999999999999989</v>
      </c>
      <c r="AA87" s="41">
        <f>(Y87/G87)*100</f>
        <v>2.1641104294478528</v>
      </c>
      <c r="AB87" s="37"/>
      <c r="AC87" s="229"/>
    </row>
    <row r="88" spans="1:29" s="38" customFormat="1" ht="102.75" customHeight="1" x14ac:dyDescent="0.4">
      <c r="A88" s="23"/>
      <c r="B88" s="69"/>
      <c r="C88" s="198" t="s">
        <v>146</v>
      </c>
      <c r="D88" s="71" t="s">
        <v>147</v>
      </c>
      <c r="E88" s="26">
        <v>515</v>
      </c>
      <c r="F88" s="26" t="s">
        <v>148</v>
      </c>
      <c r="G88" s="73">
        <v>173000000</v>
      </c>
      <c r="H88" s="33">
        <v>515</v>
      </c>
      <c r="I88" s="33" t="s">
        <v>41</v>
      </c>
      <c r="J88" s="88">
        <v>169700000</v>
      </c>
      <c r="K88" s="26"/>
      <c r="L88" s="26"/>
      <c r="M88" s="73"/>
      <c r="N88" s="33"/>
      <c r="O88" s="34"/>
      <c r="P88" s="32"/>
      <c r="Q88" s="34"/>
      <c r="R88" s="33"/>
      <c r="S88" s="34"/>
      <c r="T88" s="33"/>
      <c r="U88" s="112"/>
      <c r="V88" s="221"/>
      <c r="W88" s="39"/>
      <c r="X88" s="39"/>
      <c r="Y88" s="39"/>
      <c r="Z88" s="39"/>
      <c r="AA88" s="39"/>
      <c r="AB88" s="40"/>
      <c r="AC88" s="229"/>
    </row>
    <row r="89" spans="1:29" s="38" customFormat="1" ht="147.75" customHeight="1" x14ac:dyDescent="0.4">
      <c r="A89" s="23"/>
      <c r="B89" s="69"/>
      <c r="C89" s="70"/>
      <c r="D89" s="71" t="s">
        <v>149</v>
      </c>
      <c r="E89" s="26">
        <v>2210</v>
      </c>
      <c r="F89" s="26" t="s">
        <v>41</v>
      </c>
      <c r="G89" s="73">
        <v>932716000</v>
      </c>
      <c r="H89" s="33"/>
      <c r="I89" s="33"/>
      <c r="J89" s="88"/>
      <c r="K89" s="26">
        <v>545</v>
      </c>
      <c r="L89" s="26" t="s">
        <v>41</v>
      </c>
      <c r="M89" s="73">
        <v>223000000</v>
      </c>
      <c r="N89" s="29"/>
      <c r="O89" s="34">
        <f>0+0+0</f>
        <v>0</v>
      </c>
      <c r="P89" s="29">
        <v>240</v>
      </c>
      <c r="Q89" s="34">
        <f>0+0+0</f>
        <v>0</v>
      </c>
      <c r="R89" s="33"/>
      <c r="S89" s="30"/>
      <c r="T89" s="33"/>
      <c r="U89" s="112"/>
      <c r="V89" s="41">
        <f>N89+P89+R89+T89</f>
        <v>240</v>
      </c>
      <c r="W89" s="30">
        <f t="shared" ref="W89" si="16">O89+Q89+S89+U89</f>
        <v>0</v>
      </c>
      <c r="X89" s="29">
        <f>H89+V89</f>
        <v>240</v>
      </c>
      <c r="Y89" s="30">
        <f>J89+W89</f>
        <v>0</v>
      </c>
      <c r="Z89" s="41">
        <f>(X89/E89)*100</f>
        <v>10.859728506787331</v>
      </c>
      <c r="AA89" s="41">
        <f>(Y89/G89)*100</f>
        <v>0</v>
      </c>
      <c r="AB89" s="37"/>
      <c r="AC89" s="229"/>
    </row>
    <row r="90" spans="1:29" s="38" customFormat="1" ht="33.75" customHeight="1" x14ac:dyDescent="0.4">
      <c r="A90" s="23"/>
      <c r="B90" s="69"/>
      <c r="C90" s="70"/>
      <c r="D90" s="71"/>
      <c r="E90" s="26"/>
      <c r="F90" s="26"/>
      <c r="G90" s="73"/>
      <c r="H90" s="33"/>
      <c r="I90" s="33"/>
      <c r="J90" s="88"/>
      <c r="K90" s="26"/>
      <c r="L90" s="26"/>
      <c r="M90" s="73"/>
      <c r="N90" s="33"/>
      <c r="O90" s="34"/>
      <c r="P90" s="32"/>
      <c r="Q90" s="34"/>
      <c r="R90" s="32"/>
      <c r="S90" s="32"/>
      <c r="T90" s="33"/>
      <c r="U90" s="32"/>
      <c r="V90" s="33"/>
      <c r="W90" s="34"/>
      <c r="X90" s="33"/>
      <c r="Y90" s="34"/>
      <c r="Z90" s="46">
        <f>(Z87+Z89)/3</f>
        <v>6.5532428355957775</v>
      </c>
      <c r="AA90" s="46">
        <f>(AA87+AA89)/3</f>
        <v>0.72137014314928427</v>
      </c>
      <c r="AB90" s="37"/>
      <c r="AC90" s="229"/>
    </row>
    <row r="91" spans="1:29" s="9" customFormat="1" ht="408.75" customHeight="1" x14ac:dyDescent="0.4">
      <c r="A91" s="177">
        <v>9</v>
      </c>
      <c r="B91" s="169" t="s">
        <v>150</v>
      </c>
      <c r="C91" s="169" t="s">
        <v>151</v>
      </c>
      <c r="D91" s="169" t="s">
        <v>152</v>
      </c>
      <c r="E91" s="170">
        <v>100</v>
      </c>
      <c r="F91" s="171" t="s">
        <v>20</v>
      </c>
      <c r="G91" s="172">
        <v>597075000</v>
      </c>
      <c r="H91" s="170">
        <v>100</v>
      </c>
      <c r="I91" s="170" t="s">
        <v>20</v>
      </c>
      <c r="J91" s="173">
        <v>235931720</v>
      </c>
      <c r="K91" s="170"/>
      <c r="L91" s="171"/>
      <c r="M91" s="172"/>
      <c r="N91" s="170"/>
      <c r="O91" s="179"/>
      <c r="P91" s="170"/>
      <c r="Q91" s="179"/>
      <c r="R91" s="170"/>
      <c r="S91" s="172"/>
      <c r="T91" s="170"/>
      <c r="U91" s="172"/>
      <c r="V91" s="179"/>
      <c r="W91" s="179"/>
      <c r="X91" s="179"/>
      <c r="Y91" s="179"/>
      <c r="Z91" s="179"/>
      <c r="AA91" s="179"/>
      <c r="AB91" s="180"/>
      <c r="AC91" s="227"/>
    </row>
    <row r="92" spans="1:29" s="9" customFormat="1" ht="372.75" customHeight="1" x14ac:dyDescent="0.4">
      <c r="A92" s="168"/>
      <c r="B92" s="169"/>
      <c r="C92" s="169"/>
      <c r="D92" s="169" t="s">
        <v>153</v>
      </c>
      <c r="E92" s="170">
        <v>13</v>
      </c>
      <c r="F92" s="171" t="s">
        <v>20</v>
      </c>
      <c r="G92" s="172">
        <v>1481548000</v>
      </c>
      <c r="H92" s="170"/>
      <c r="I92" s="170"/>
      <c r="J92" s="173"/>
      <c r="K92" s="170">
        <v>9</v>
      </c>
      <c r="L92" s="171" t="s">
        <v>20</v>
      </c>
      <c r="M92" s="172">
        <f>M94+M101</f>
        <v>475575000</v>
      </c>
      <c r="N92" s="174">
        <v>2.25</v>
      </c>
      <c r="O92" s="172">
        <f>O94+O101</f>
        <v>0</v>
      </c>
      <c r="P92" s="194">
        <v>2.25</v>
      </c>
      <c r="Q92" s="172">
        <f>Q94+Q101</f>
        <v>68710000</v>
      </c>
      <c r="R92" s="170"/>
      <c r="S92" s="172"/>
      <c r="T92" s="170"/>
      <c r="U92" s="172"/>
      <c r="V92" s="174">
        <f>N92+P92+R92+T92</f>
        <v>4.5</v>
      </c>
      <c r="W92" s="181">
        <f>O92+Q92+S92+U92</f>
        <v>68710000</v>
      </c>
      <c r="X92" s="174">
        <f>H92+V92</f>
        <v>4.5</v>
      </c>
      <c r="Y92" s="173">
        <f>J92+W92</f>
        <v>68710000</v>
      </c>
      <c r="Z92" s="174">
        <f>(X92/E92)*100</f>
        <v>34.615384615384613</v>
      </c>
      <c r="AA92" s="174">
        <f>(Y92/G92)*100</f>
        <v>4.6377167665171832</v>
      </c>
      <c r="AB92" s="176"/>
      <c r="AC92" s="227"/>
    </row>
    <row r="93" spans="1:29" s="116" customFormat="1" ht="326.25" customHeight="1" x14ac:dyDescent="0.25">
      <c r="A93" s="113"/>
      <c r="B93" s="114"/>
      <c r="C93" s="48" t="s">
        <v>154</v>
      </c>
      <c r="D93" s="48" t="s">
        <v>155</v>
      </c>
      <c r="E93" s="52">
        <v>20</v>
      </c>
      <c r="F93" s="50" t="s">
        <v>20</v>
      </c>
      <c r="G93" s="51">
        <v>187985000</v>
      </c>
      <c r="H93" s="52">
        <v>20</v>
      </c>
      <c r="I93" s="52" t="s">
        <v>20</v>
      </c>
      <c r="J93" s="84">
        <v>152159220</v>
      </c>
      <c r="K93" s="53"/>
      <c r="L93" s="67"/>
      <c r="M93" s="51"/>
      <c r="N93" s="52"/>
      <c r="O93" s="52"/>
      <c r="P93" s="52"/>
      <c r="Q93" s="52"/>
      <c r="R93" s="52"/>
      <c r="S93" s="51"/>
      <c r="T93" s="52"/>
      <c r="U93" s="51"/>
      <c r="V93" s="52"/>
      <c r="W93" s="52"/>
      <c r="X93" s="52"/>
      <c r="Y93" s="52"/>
      <c r="Z93" s="52"/>
      <c r="AA93" s="52"/>
      <c r="AB93" s="115"/>
      <c r="AC93" s="218"/>
    </row>
    <row r="94" spans="1:29" s="116" customFormat="1" ht="180.75" customHeight="1" x14ac:dyDescent="0.25">
      <c r="A94" s="113"/>
      <c r="B94" s="114">
        <f>20/4</f>
        <v>5</v>
      </c>
      <c r="C94" s="48"/>
      <c r="D94" s="48" t="s">
        <v>156</v>
      </c>
      <c r="E94" s="52">
        <v>15</v>
      </c>
      <c r="F94" s="50" t="s">
        <v>20</v>
      </c>
      <c r="G94" s="51">
        <v>971940000</v>
      </c>
      <c r="H94" s="52"/>
      <c r="I94" s="52"/>
      <c r="J94" s="84"/>
      <c r="K94" s="52">
        <v>20</v>
      </c>
      <c r="L94" s="67" t="s">
        <v>20</v>
      </c>
      <c r="M94" s="51">
        <f>M96+M99</f>
        <v>238984000</v>
      </c>
      <c r="N94" s="49">
        <v>5</v>
      </c>
      <c r="O94" s="68">
        <f>O96+O99</f>
        <v>0</v>
      </c>
      <c r="P94" s="68">
        <v>5</v>
      </c>
      <c r="Q94" s="251">
        <f>Q96+Q99</f>
        <v>60984000</v>
      </c>
      <c r="R94" s="49"/>
      <c r="S94" s="68"/>
      <c r="T94" s="49"/>
      <c r="U94" s="68"/>
      <c r="V94" s="49">
        <f>N94+P94+R94+T94</f>
        <v>10</v>
      </c>
      <c r="W94" s="251">
        <f>O94+Q94+S94+U94</f>
        <v>60984000</v>
      </c>
      <c r="X94" s="49">
        <f>H94+V94</f>
        <v>10</v>
      </c>
      <c r="Y94" s="251">
        <f>J94+W94</f>
        <v>60984000</v>
      </c>
      <c r="Z94" s="49">
        <f>(X94/E94)*100</f>
        <v>66.666666666666657</v>
      </c>
      <c r="AA94" s="49">
        <f>(Y94/G94)*100</f>
        <v>6.2744613865053394</v>
      </c>
      <c r="AB94" s="55"/>
      <c r="AC94" s="218"/>
    </row>
    <row r="95" spans="1:29" s="38" customFormat="1" ht="173.25" customHeight="1" x14ac:dyDescent="0.4">
      <c r="A95" s="23"/>
      <c r="B95" s="69"/>
      <c r="C95" s="197" t="s">
        <v>157</v>
      </c>
      <c r="D95" s="25" t="s">
        <v>158</v>
      </c>
      <c r="E95" s="117">
        <v>65</v>
      </c>
      <c r="F95" s="57" t="s">
        <v>159</v>
      </c>
      <c r="G95" s="73">
        <v>39450000</v>
      </c>
      <c r="H95" s="29">
        <v>65</v>
      </c>
      <c r="I95" s="27" t="s">
        <v>160</v>
      </c>
      <c r="J95" s="74">
        <v>34745100</v>
      </c>
      <c r="K95" s="29"/>
      <c r="L95" s="72"/>
      <c r="M95" s="73"/>
      <c r="N95" s="29"/>
      <c r="O95" s="30"/>
      <c r="P95" s="29"/>
      <c r="Q95" s="34"/>
      <c r="R95" s="32"/>
      <c r="S95" s="32"/>
      <c r="T95" s="33"/>
      <c r="U95" s="34"/>
      <c r="V95" s="39"/>
      <c r="W95" s="39"/>
      <c r="X95" s="39"/>
      <c r="Y95" s="39"/>
      <c r="Z95" s="39"/>
      <c r="AA95" s="39"/>
      <c r="AB95" s="40"/>
      <c r="AC95" s="229"/>
    </row>
    <row r="96" spans="1:29" s="118" customFormat="1" ht="99" customHeight="1" x14ac:dyDescent="0.4">
      <c r="A96" s="23"/>
      <c r="B96" s="69"/>
      <c r="C96" s="25"/>
      <c r="D96" s="25" t="s">
        <v>161</v>
      </c>
      <c r="E96" s="117">
        <v>862</v>
      </c>
      <c r="F96" s="57" t="s">
        <v>93</v>
      </c>
      <c r="G96" s="73">
        <v>217800000</v>
      </c>
      <c r="H96" s="29"/>
      <c r="I96" s="27"/>
      <c r="J96" s="74"/>
      <c r="K96" s="29">
        <v>150</v>
      </c>
      <c r="L96" s="72" t="s">
        <v>93</v>
      </c>
      <c r="M96" s="73">
        <v>51449600</v>
      </c>
      <c r="N96" s="29"/>
      <c r="O96" s="30">
        <f>0+0+0</f>
        <v>0</v>
      </c>
      <c r="P96" s="29">
        <v>70</v>
      </c>
      <c r="Q96" s="34">
        <f>0+0+50774000</f>
        <v>50774000</v>
      </c>
      <c r="R96" s="32"/>
      <c r="S96" s="32"/>
      <c r="T96" s="33"/>
      <c r="U96" s="30"/>
      <c r="V96" s="36">
        <f>N96+P96+R96+T96</f>
        <v>70</v>
      </c>
      <c r="W96" s="34">
        <f>O96+Q96+S96+U96</f>
        <v>50774000</v>
      </c>
      <c r="X96" s="36">
        <f>H96+V96</f>
        <v>70</v>
      </c>
      <c r="Y96" s="34">
        <f>J96+W96</f>
        <v>50774000</v>
      </c>
      <c r="Z96" s="36">
        <f>(X96/E96)*100</f>
        <v>8.1206496519721583</v>
      </c>
      <c r="AA96" s="36">
        <f>(Y96/G96)*100</f>
        <v>23.312213039485766</v>
      </c>
      <c r="AB96" s="37"/>
      <c r="AC96" s="234"/>
    </row>
    <row r="97" spans="1:29" s="38" customFormat="1" ht="203.25" customHeight="1" x14ac:dyDescent="0.4">
      <c r="A97" s="23"/>
      <c r="B97" s="69"/>
      <c r="C97" s="197" t="s">
        <v>162</v>
      </c>
      <c r="D97" s="25" t="s">
        <v>163</v>
      </c>
      <c r="E97" s="117">
        <v>65</v>
      </c>
      <c r="F97" s="57" t="s">
        <v>159</v>
      </c>
      <c r="G97" s="30">
        <v>148535000</v>
      </c>
      <c r="H97" s="29">
        <v>65</v>
      </c>
      <c r="I97" s="27" t="s">
        <v>160</v>
      </c>
      <c r="J97" s="74">
        <v>117424120</v>
      </c>
      <c r="K97" s="29">
        <v>65</v>
      </c>
      <c r="L97" s="119" t="s">
        <v>159</v>
      </c>
      <c r="M97" s="73">
        <v>138880600</v>
      </c>
      <c r="N97" s="29"/>
      <c r="O97" s="30"/>
      <c r="P97" s="29"/>
      <c r="Q97" s="30"/>
      <c r="R97" s="76"/>
      <c r="S97" s="30"/>
      <c r="T97" s="29"/>
      <c r="U97" s="30"/>
      <c r="V97" s="221"/>
      <c r="W97" s="39"/>
      <c r="X97" s="39"/>
      <c r="Y97" s="39"/>
      <c r="Z97" s="245"/>
      <c r="AA97" s="39"/>
      <c r="AB97" s="40"/>
      <c r="AC97" s="229"/>
    </row>
    <row r="98" spans="1:29" s="118" customFormat="1" ht="245.25" customHeight="1" x14ac:dyDescent="0.4">
      <c r="A98" s="23"/>
      <c r="B98" s="69"/>
      <c r="C98" s="25"/>
      <c r="D98" s="25" t="s">
        <v>164</v>
      </c>
      <c r="E98" s="117">
        <v>10</v>
      </c>
      <c r="F98" s="57" t="s">
        <v>165</v>
      </c>
      <c r="G98" s="30">
        <v>8500000</v>
      </c>
      <c r="H98" s="29"/>
      <c r="I98" s="27"/>
      <c r="J98" s="74"/>
      <c r="K98" s="117">
        <v>10</v>
      </c>
      <c r="L98" s="57" t="s">
        <v>165</v>
      </c>
      <c r="M98" s="73">
        <v>142310400</v>
      </c>
      <c r="N98" s="29"/>
      <c r="O98" s="30"/>
      <c r="P98" s="29"/>
      <c r="Q98" s="30"/>
      <c r="R98" s="29"/>
      <c r="S98" s="30"/>
      <c r="T98" s="29"/>
      <c r="U98" s="30"/>
      <c r="V98" s="36"/>
      <c r="W98" s="34"/>
      <c r="X98" s="36"/>
      <c r="Y98" s="34"/>
      <c r="Z98" s="242"/>
      <c r="AA98" s="36"/>
      <c r="AB98" s="37"/>
      <c r="AC98" s="234"/>
    </row>
    <row r="99" spans="1:29" s="118" customFormat="1" ht="245.25" customHeight="1" x14ac:dyDescent="0.4">
      <c r="A99" s="23"/>
      <c r="B99" s="69"/>
      <c r="C99" s="25"/>
      <c r="D99" s="197" t="s">
        <v>217</v>
      </c>
      <c r="E99" s="200">
        <v>12</v>
      </c>
      <c r="F99" s="201" t="s">
        <v>181</v>
      </c>
      <c r="G99" s="202">
        <v>754140000</v>
      </c>
      <c r="H99" s="203"/>
      <c r="I99" s="204"/>
      <c r="J99" s="205"/>
      <c r="K99" s="200">
        <v>3</v>
      </c>
      <c r="L99" s="201" t="s">
        <v>181</v>
      </c>
      <c r="M99" s="206">
        <v>187534400</v>
      </c>
      <c r="N99" s="29"/>
      <c r="O99" s="30">
        <f>0+0+0</f>
        <v>0</v>
      </c>
      <c r="P99" s="29"/>
      <c r="Q99" s="30">
        <f>0+0+10210000</f>
        <v>10210000</v>
      </c>
      <c r="R99" s="29"/>
      <c r="S99" s="30"/>
      <c r="T99" s="29"/>
      <c r="U99" s="30"/>
      <c r="V99" s="36">
        <f>N99+P99+R99+T99</f>
        <v>0</v>
      </c>
      <c r="W99" s="34">
        <f>O99+Q99+S99+U99</f>
        <v>10210000</v>
      </c>
      <c r="X99" s="36">
        <f>H99+V99</f>
        <v>0</v>
      </c>
      <c r="Y99" s="34">
        <f>J99+W99</f>
        <v>10210000</v>
      </c>
      <c r="Z99" s="36">
        <f>(X99/E99)*100</f>
        <v>0</v>
      </c>
      <c r="AA99" s="36">
        <f>(Y99/G99)*100</f>
        <v>1.3538600259898692</v>
      </c>
      <c r="AB99" s="37"/>
      <c r="AC99" s="234"/>
    </row>
    <row r="100" spans="1:29" s="56" customFormat="1" ht="243" customHeight="1" x14ac:dyDescent="0.4">
      <c r="A100" s="47"/>
      <c r="B100" s="66"/>
      <c r="C100" s="48" t="s">
        <v>166</v>
      </c>
      <c r="D100" s="48" t="s">
        <v>167</v>
      </c>
      <c r="E100" s="52">
        <v>85</v>
      </c>
      <c r="F100" s="50" t="s">
        <v>20</v>
      </c>
      <c r="G100" s="51">
        <v>109490000</v>
      </c>
      <c r="H100" s="52">
        <v>85</v>
      </c>
      <c r="I100" s="52" t="s">
        <v>20</v>
      </c>
      <c r="J100" s="84">
        <v>85272500</v>
      </c>
      <c r="K100" s="52"/>
      <c r="L100" s="50"/>
      <c r="M100" s="51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3"/>
      <c r="AC100" s="218"/>
    </row>
    <row r="101" spans="1:29" s="56" customFormat="1" ht="151.5" customHeight="1" x14ac:dyDescent="0.4">
      <c r="A101" s="47"/>
      <c r="B101" s="66"/>
      <c r="C101" s="48">
        <f>14/4</f>
        <v>3.5</v>
      </c>
      <c r="D101" s="114" t="s">
        <v>168</v>
      </c>
      <c r="E101" s="84">
        <v>12</v>
      </c>
      <c r="F101" s="84" t="s">
        <v>20</v>
      </c>
      <c r="G101" s="51">
        <v>509608000</v>
      </c>
      <c r="H101" s="51"/>
      <c r="I101" s="51"/>
      <c r="J101" s="51"/>
      <c r="K101" s="84">
        <v>14</v>
      </c>
      <c r="L101" s="84" t="s">
        <v>20</v>
      </c>
      <c r="M101" s="51">
        <f>M103+M105+M107</f>
        <v>236591000</v>
      </c>
      <c r="N101" s="52">
        <v>3.5</v>
      </c>
      <c r="O101" s="51">
        <f>O103++O105+O107</f>
        <v>0</v>
      </c>
      <c r="P101" s="262">
        <v>3.5</v>
      </c>
      <c r="Q101" s="51">
        <f>Q103++Q105+Q107</f>
        <v>7726000</v>
      </c>
      <c r="R101" s="52"/>
      <c r="S101" s="51"/>
      <c r="T101" s="52"/>
      <c r="U101" s="51"/>
      <c r="V101" s="49">
        <f>N101+P101+R101+T101</f>
        <v>7</v>
      </c>
      <c r="W101" s="68">
        <f>O101+Q101+S101+U101</f>
        <v>7726000</v>
      </c>
      <c r="X101" s="49">
        <f>H101+V101</f>
        <v>7</v>
      </c>
      <c r="Y101" s="68">
        <f>J101+W101</f>
        <v>7726000</v>
      </c>
      <c r="Z101" s="49">
        <f>(X101/E101)*100</f>
        <v>58.333333333333336</v>
      </c>
      <c r="AA101" s="49">
        <f>(Y101/G101)*100</f>
        <v>1.5160672516914961</v>
      </c>
      <c r="AB101" s="55"/>
      <c r="AC101" s="218"/>
    </row>
    <row r="102" spans="1:29" s="94" customFormat="1" ht="234.75" customHeight="1" x14ac:dyDescent="0.4">
      <c r="A102" s="23"/>
      <c r="B102" s="69"/>
      <c r="C102" s="198" t="s">
        <v>169</v>
      </c>
      <c r="D102" s="120" t="s">
        <v>170</v>
      </c>
      <c r="E102" s="121">
        <v>50</v>
      </c>
      <c r="F102" s="121" t="s">
        <v>171</v>
      </c>
      <c r="G102" s="73">
        <v>29125000</v>
      </c>
      <c r="H102" s="33">
        <v>50</v>
      </c>
      <c r="I102" s="121" t="s">
        <v>171</v>
      </c>
      <c r="J102" s="88">
        <v>29124600</v>
      </c>
      <c r="K102" s="121"/>
      <c r="L102" s="121"/>
      <c r="M102" s="73"/>
      <c r="N102" s="29"/>
      <c r="O102" s="74"/>
      <c r="P102" s="29"/>
      <c r="Q102" s="30"/>
      <c r="R102" s="29"/>
      <c r="S102" s="34"/>
      <c r="T102" s="33"/>
      <c r="U102" s="34"/>
      <c r="V102" s="39"/>
      <c r="W102" s="39"/>
      <c r="X102" s="39"/>
      <c r="Y102" s="39"/>
      <c r="Z102" s="39"/>
      <c r="AA102" s="39"/>
      <c r="AB102" s="40"/>
      <c r="AC102" s="230"/>
    </row>
    <row r="103" spans="1:29" s="118" customFormat="1" ht="74.25" customHeight="1" x14ac:dyDescent="0.4">
      <c r="A103" s="23"/>
      <c r="B103" s="69"/>
      <c r="C103" s="70"/>
      <c r="D103" s="120" t="s">
        <v>172</v>
      </c>
      <c r="E103" s="121">
        <v>630</v>
      </c>
      <c r="F103" s="121" t="s">
        <v>173</v>
      </c>
      <c r="G103" s="73">
        <v>188148000</v>
      </c>
      <c r="H103" s="33"/>
      <c r="I103" s="121"/>
      <c r="J103" s="88"/>
      <c r="K103" s="121">
        <v>130</v>
      </c>
      <c r="L103" s="121" t="s">
        <v>173</v>
      </c>
      <c r="M103" s="73">
        <v>134527400</v>
      </c>
      <c r="N103" s="29"/>
      <c r="O103" s="74">
        <f>0+0+0</f>
        <v>0</v>
      </c>
      <c r="P103" s="29"/>
      <c r="Q103" s="30">
        <f>0+0+0</f>
        <v>0</v>
      </c>
      <c r="R103" s="29"/>
      <c r="S103" s="30"/>
      <c r="T103" s="33"/>
      <c r="U103" s="30"/>
      <c r="V103" s="36">
        <f>N103+P103+R103+T103</f>
        <v>0</v>
      </c>
      <c r="W103" s="34">
        <f>O103+Q103+S103+U103</f>
        <v>0</v>
      </c>
      <c r="X103" s="36">
        <f>H103+V103</f>
        <v>0</v>
      </c>
      <c r="Y103" s="34">
        <f>J103+W103</f>
        <v>0</v>
      </c>
      <c r="Z103" s="36">
        <f>(X103/E103)*100</f>
        <v>0</v>
      </c>
      <c r="AA103" s="36">
        <f>(Y103/G103)*100</f>
        <v>0</v>
      </c>
      <c r="AB103" s="37"/>
      <c r="AC103" s="234"/>
    </row>
    <row r="104" spans="1:29" s="94" customFormat="1" ht="233.25" customHeight="1" x14ac:dyDescent="0.4">
      <c r="A104" s="23"/>
      <c r="B104" s="69"/>
      <c r="C104" s="198" t="s">
        <v>174</v>
      </c>
      <c r="D104" s="120" t="s">
        <v>175</v>
      </c>
      <c r="E104" s="117">
        <v>10</v>
      </c>
      <c r="F104" s="57" t="s">
        <v>176</v>
      </c>
      <c r="G104" s="73">
        <v>2125000</v>
      </c>
      <c r="H104" s="27">
        <v>10</v>
      </c>
      <c r="I104" s="27" t="s">
        <v>177</v>
      </c>
      <c r="J104" s="88">
        <v>1500000</v>
      </c>
      <c r="K104" s="117"/>
      <c r="L104" s="57"/>
      <c r="M104" s="73"/>
      <c r="N104" s="33"/>
      <c r="O104" s="34"/>
      <c r="P104" s="29"/>
      <c r="Q104" s="30"/>
      <c r="R104" s="33"/>
      <c r="S104" s="34"/>
      <c r="T104" s="29"/>
      <c r="U104" s="30"/>
      <c r="V104" s="221"/>
      <c r="W104" s="39"/>
      <c r="X104" s="39"/>
      <c r="Y104" s="39"/>
      <c r="Z104" s="39"/>
      <c r="AA104" s="39"/>
      <c r="AB104" s="40"/>
      <c r="AC104" s="230"/>
    </row>
    <row r="105" spans="1:29" s="118" customFormat="1" ht="134.25" customHeight="1" x14ac:dyDescent="0.4">
      <c r="A105" s="23"/>
      <c r="B105" s="69"/>
      <c r="C105" s="70"/>
      <c r="D105" s="120" t="s">
        <v>178</v>
      </c>
      <c r="E105" s="117">
        <v>10</v>
      </c>
      <c r="F105" s="57" t="s">
        <v>176</v>
      </c>
      <c r="G105" s="73">
        <v>8500000</v>
      </c>
      <c r="H105" s="27"/>
      <c r="I105" s="27"/>
      <c r="J105" s="88"/>
      <c r="K105" s="117">
        <v>10</v>
      </c>
      <c r="L105" s="57" t="s">
        <v>176</v>
      </c>
      <c r="M105" s="73">
        <v>23823600</v>
      </c>
      <c r="N105" s="29"/>
      <c r="O105" s="34">
        <f>0+0+0</f>
        <v>0</v>
      </c>
      <c r="P105" s="29"/>
      <c r="Q105" s="30">
        <f>0+0+0</f>
        <v>0</v>
      </c>
      <c r="R105" s="33"/>
      <c r="S105" s="34"/>
      <c r="T105" s="29"/>
      <c r="U105" s="30"/>
      <c r="V105" s="36">
        <f>N105+P105+R105+T105</f>
        <v>0</v>
      </c>
      <c r="W105" s="34">
        <f>O105+Q105+S105+U105</f>
        <v>0</v>
      </c>
      <c r="X105" s="36">
        <f>H105+V105</f>
        <v>0</v>
      </c>
      <c r="Y105" s="34">
        <f>J105+W105</f>
        <v>0</v>
      </c>
      <c r="Z105" s="36">
        <f>(X105/E105)*100</f>
        <v>0</v>
      </c>
      <c r="AA105" s="36">
        <f>(Y105/G105)*100</f>
        <v>0</v>
      </c>
      <c r="AB105" s="37"/>
      <c r="AC105" s="234"/>
    </row>
    <row r="106" spans="1:29" s="38" customFormat="1" ht="165.75" customHeight="1" x14ac:dyDescent="0.4">
      <c r="A106" s="23"/>
      <c r="B106" s="69"/>
      <c r="C106" s="198" t="s">
        <v>179</v>
      </c>
      <c r="D106" s="109" t="s">
        <v>180</v>
      </c>
      <c r="E106" s="117">
        <v>1</v>
      </c>
      <c r="F106" s="57" t="s">
        <v>181</v>
      </c>
      <c r="G106" s="73"/>
      <c r="H106" s="117">
        <v>1</v>
      </c>
      <c r="I106" s="57" t="s">
        <v>181</v>
      </c>
      <c r="J106" s="74">
        <v>63697900</v>
      </c>
      <c r="K106" s="117"/>
      <c r="L106" s="57"/>
      <c r="M106" s="73"/>
      <c r="N106" s="29"/>
      <c r="O106" s="88"/>
      <c r="P106" s="29"/>
      <c r="Q106" s="30"/>
      <c r="R106" s="29"/>
      <c r="S106" s="34"/>
      <c r="T106" s="29"/>
      <c r="U106" s="30"/>
      <c r="V106" s="221"/>
      <c r="W106" s="39"/>
      <c r="X106" s="39"/>
      <c r="Y106" s="39"/>
      <c r="Z106" s="39"/>
      <c r="AA106" s="39"/>
      <c r="AB106" s="40"/>
      <c r="AC106" s="229"/>
    </row>
    <row r="107" spans="1:29" s="118" customFormat="1" ht="82.5" customHeight="1" x14ac:dyDescent="0.4">
      <c r="A107" s="23"/>
      <c r="B107" s="69"/>
      <c r="C107" s="70"/>
      <c r="D107" s="109" t="s">
        <v>182</v>
      </c>
      <c r="E107" s="117">
        <v>1</v>
      </c>
      <c r="F107" s="57" t="s">
        <v>181</v>
      </c>
      <c r="G107" s="73">
        <v>312960000</v>
      </c>
      <c r="H107" s="117"/>
      <c r="I107" s="57"/>
      <c r="J107" s="74"/>
      <c r="K107" s="117">
        <v>1</v>
      </c>
      <c r="L107" s="57" t="s">
        <v>106</v>
      </c>
      <c r="M107" s="73">
        <v>78240000</v>
      </c>
      <c r="N107" s="29"/>
      <c r="O107" s="88">
        <f>0+0+0</f>
        <v>0</v>
      </c>
      <c r="P107" s="29">
        <v>1</v>
      </c>
      <c r="Q107" s="30">
        <f>0+0+7726000</f>
        <v>7726000</v>
      </c>
      <c r="R107" s="29"/>
      <c r="S107" s="34"/>
      <c r="T107" s="29"/>
      <c r="U107" s="30"/>
      <c r="V107" s="36">
        <f>N107+P107+R107+T107</f>
        <v>1</v>
      </c>
      <c r="W107" s="36">
        <f>O107+Q107+S107+U107</f>
        <v>7726000</v>
      </c>
      <c r="X107" s="36">
        <f>H107+V107</f>
        <v>1</v>
      </c>
      <c r="Y107" s="36">
        <f>J107+W107</f>
        <v>7726000</v>
      </c>
      <c r="Z107" s="36">
        <f>(X107/E107)*100</f>
        <v>100</v>
      </c>
      <c r="AA107" s="36">
        <f>(Y107/G107)*100</f>
        <v>2.4686860940695299</v>
      </c>
      <c r="AB107" s="37"/>
      <c r="AC107" s="234"/>
    </row>
    <row r="108" spans="1:29" s="38" customFormat="1" ht="37.5" customHeight="1" x14ac:dyDescent="0.4">
      <c r="A108" s="23"/>
      <c r="B108" s="69"/>
      <c r="C108" s="70"/>
      <c r="D108" s="109"/>
      <c r="E108" s="117"/>
      <c r="F108" s="57"/>
      <c r="G108" s="73"/>
      <c r="H108" s="33"/>
      <c r="I108" s="33"/>
      <c r="J108" s="88"/>
      <c r="K108" s="117"/>
      <c r="L108" s="57"/>
      <c r="M108" s="73"/>
      <c r="N108" s="33"/>
      <c r="O108" s="34"/>
      <c r="P108" s="32"/>
      <c r="Q108" s="76"/>
      <c r="R108" s="32"/>
      <c r="S108" s="32"/>
      <c r="T108" s="33"/>
      <c r="U108" s="32"/>
      <c r="V108" s="33"/>
      <c r="W108" s="34"/>
      <c r="X108" s="33"/>
      <c r="Y108" s="34"/>
      <c r="Z108" s="193">
        <f>(Z96+Z99+Z103+Z105+Z107)/5</f>
        <v>21.624129930394432</v>
      </c>
      <c r="AA108" s="193">
        <f>(AA96+AA99+AA103+AA105+AA107)/5</f>
        <v>5.4269518319090331</v>
      </c>
      <c r="AB108" s="37"/>
      <c r="AC108" s="229"/>
    </row>
    <row r="109" spans="1:29" s="9" customFormat="1" ht="259.5" customHeight="1" x14ac:dyDescent="0.4">
      <c r="A109" s="177">
        <v>10</v>
      </c>
      <c r="B109" s="169" t="s">
        <v>183</v>
      </c>
      <c r="C109" s="169" t="s">
        <v>184</v>
      </c>
      <c r="D109" s="169" t="s">
        <v>185</v>
      </c>
      <c r="E109" s="170">
        <v>100</v>
      </c>
      <c r="F109" s="170" t="s">
        <v>20</v>
      </c>
      <c r="G109" s="172">
        <v>14868946862</v>
      </c>
      <c r="H109" s="170">
        <v>100</v>
      </c>
      <c r="I109" s="170" t="s">
        <v>20</v>
      </c>
      <c r="J109" s="173">
        <v>1682024996</v>
      </c>
      <c r="K109" s="170"/>
      <c r="L109" s="170"/>
      <c r="M109" s="172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80"/>
      <c r="AC109" s="227"/>
    </row>
    <row r="110" spans="1:29" s="9" customFormat="1" ht="168" customHeight="1" x14ac:dyDescent="0.4">
      <c r="A110" s="168"/>
      <c r="B110" s="169"/>
      <c r="C110" s="169"/>
      <c r="D110" s="189" t="s">
        <v>186</v>
      </c>
      <c r="E110" s="189">
        <v>100</v>
      </c>
      <c r="F110" s="170" t="s">
        <v>187</v>
      </c>
      <c r="G110" s="172">
        <v>69699649407</v>
      </c>
      <c r="H110" s="170"/>
      <c r="I110" s="170"/>
      <c r="J110" s="173"/>
      <c r="K110" s="208">
        <v>100</v>
      </c>
      <c r="L110" s="170" t="s">
        <v>187</v>
      </c>
      <c r="M110" s="172">
        <f>M112+M118+M124+M126+M128+M137+M142+M145</f>
        <v>12227226685</v>
      </c>
      <c r="N110" s="170"/>
      <c r="O110" s="172">
        <f>O112+O118+O124+O126+O128+O137+O142+O145</f>
        <v>3221376211</v>
      </c>
      <c r="P110" s="172"/>
      <c r="Q110" s="172">
        <f>Q112+Q118+Q124+Q126+Q128+Q137+Q142+Q145</f>
        <v>6884979057</v>
      </c>
      <c r="R110" s="170"/>
      <c r="S110" s="172"/>
      <c r="T110" s="170"/>
      <c r="U110" s="175"/>
      <c r="V110" s="170">
        <f>N110+P110+R110+T110</f>
        <v>0</v>
      </c>
      <c r="W110" s="172">
        <f>O110+Q110+S110+U110</f>
        <v>10106355268</v>
      </c>
      <c r="X110" s="170">
        <f>H110+V110</f>
        <v>0</v>
      </c>
      <c r="Y110" s="172">
        <f>J110+W110</f>
        <v>10106355268</v>
      </c>
      <c r="Z110" s="174">
        <f>(X110/E110)*100</f>
        <v>0</v>
      </c>
      <c r="AA110" s="239">
        <f>(Y110/G110)*100</f>
        <v>14.499865284810184</v>
      </c>
      <c r="AB110" s="176"/>
      <c r="AC110" s="227"/>
    </row>
    <row r="111" spans="1:29" s="9" customFormat="1" ht="145.5" customHeight="1" x14ac:dyDescent="0.4">
      <c r="A111" s="168"/>
      <c r="B111" s="169"/>
      <c r="C111" s="169"/>
      <c r="D111" s="190" t="s">
        <v>188</v>
      </c>
      <c r="E111" s="191">
        <v>100</v>
      </c>
      <c r="F111" s="170" t="s">
        <v>187</v>
      </c>
      <c r="G111" s="172"/>
      <c r="H111" s="170"/>
      <c r="I111" s="170"/>
      <c r="J111" s="173"/>
      <c r="K111" s="196">
        <v>100</v>
      </c>
      <c r="L111" s="170" t="s">
        <v>187</v>
      </c>
      <c r="M111" s="172"/>
      <c r="N111" s="170"/>
      <c r="O111" s="172"/>
      <c r="P111" s="170"/>
      <c r="Q111" s="172"/>
      <c r="R111" s="170"/>
      <c r="S111" s="172"/>
      <c r="T111" s="170"/>
      <c r="U111" s="175"/>
      <c r="V111" s="170"/>
      <c r="W111" s="172"/>
      <c r="X111" s="170"/>
      <c r="Y111" s="172"/>
      <c r="Z111" s="182"/>
      <c r="AA111" s="174"/>
      <c r="AB111" s="176"/>
      <c r="AC111" s="227"/>
    </row>
    <row r="112" spans="1:29" s="56" customFormat="1" ht="172.5" customHeight="1" x14ac:dyDescent="0.4">
      <c r="A112" s="47"/>
      <c r="B112" s="66"/>
      <c r="C112" s="48" t="s">
        <v>218</v>
      </c>
      <c r="D112" s="48" t="s">
        <v>219</v>
      </c>
      <c r="E112" s="52">
        <v>100</v>
      </c>
      <c r="F112" s="52" t="s">
        <v>20</v>
      </c>
      <c r="G112" s="51">
        <v>99649670</v>
      </c>
      <c r="H112" s="52"/>
      <c r="I112" s="52"/>
      <c r="J112" s="84"/>
      <c r="K112" s="52">
        <v>100</v>
      </c>
      <c r="L112" s="52" t="s">
        <v>20</v>
      </c>
      <c r="M112" s="51">
        <f>SUM(M113:M117)</f>
        <v>34393200</v>
      </c>
      <c r="N112" s="52"/>
      <c r="O112" s="51">
        <f>O113+O114+O115+O116+O117</f>
        <v>1560000</v>
      </c>
      <c r="P112" s="51"/>
      <c r="Q112" s="51">
        <f>Q113+Q114+Q115+Q116+Q117</f>
        <v>8310000</v>
      </c>
      <c r="R112" s="52"/>
      <c r="S112" s="51"/>
      <c r="T112" s="52"/>
      <c r="U112" s="51"/>
      <c r="V112" s="52">
        <f>N112+P112+R112+T112</f>
        <v>0</v>
      </c>
      <c r="W112" s="51">
        <f>O112+Q112+S112+U112</f>
        <v>9870000</v>
      </c>
      <c r="X112" s="84">
        <f>H112+V112</f>
        <v>0</v>
      </c>
      <c r="Y112" s="51">
        <f>J112+W112</f>
        <v>9870000</v>
      </c>
      <c r="Z112" s="49">
        <f>(X112/E112)*100</f>
        <v>0</v>
      </c>
      <c r="AA112" s="247">
        <f>(Y112/G112)*100</f>
        <v>9.9046991324707854</v>
      </c>
      <c r="AB112" s="55"/>
      <c r="AC112" s="218"/>
    </row>
    <row r="113" spans="1:29" s="38" customFormat="1" ht="128.25" customHeight="1" x14ac:dyDescent="0.4">
      <c r="A113" s="23"/>
      <c r="B113" s="69"/>
      <c r="C113" s="197" t="s">
        <v>220</v>
      </c>
      <c r="D113" s="25" t="s">
        <v>221</v>
      </c>
      <c r="E113" s="29">
        <v>8</v>
      </c>
      <c r="F113" s="29" t="s">
        <v>27</v>
      </c>
      <c r="G113" s="30">
        <v>24718790</v>
      </c>
      <c r="H113" s="29">
        <v>2</v>
      </c>
      <c r="I113" s="29" t="s">
        <v>193</v>
      </c>
      <c r="J113" s="74">
        <v>4196852448</v>
      </c>
      <c r="K113" s="29">
        <v>8</v>
      </c>
      <c r="L113" s="29" t="s">
        <v>27</v>
      </c>
      <c r="M113" s="30">
        <v>12072800</v>
      </c>
      <c r="N113" s="29"/>
      <c r="O113" s="30">
        <f>0+0+1560000</f>
        <v>1560000</v>
      </c>
      <c r="P113" s="33"/>
      <c r="Q113" s="30">
        <f>750000+0+2310000</f>
        <v>3060000</v>
      </c>
      <c r="R113" s="32"/>
      <c r="S113" s="34"/>
      <c r="T113" s="33"/>
      <c r="U113" s="30"/>
      <c r="V113" s="36">
        <f>N113+P113+R113+T113</f>
        <v>0</v>
      </c>
      <c r="W113" s="34">
        <f>O113+Q113+S113+U113</f>
        <v>4620000</v>
      </c>
      <c r="X113" s="36">
        <f>H113+V113</f>
        <v>2</v>
      </c>
      <c r="Y113" s="34">
        <f>J113+W113</f>
        <v>4201472448</v>
      </c>
      <c r="Z113" s="36">
        <f>(X113/E113)*100</f>
        <v>25</v>
      </c>
      <c r="AA113" s="36">
        <f>(Y113/G113)*100</f>
        <v>16997.079743790047</v>
      </c>
      <c r="AB113" s="42"/>
      <c r="AC113" s="229"/>
    </row>
    <row r="114" spans="1:29" s="38" customFormat="1" ht="128.25" customHeight="1" x14ac:dyDescent="0.4">
      <c r="A114" s="23"/>
      <c r="B114" s="69"/>
      <c r="C114" s="197" t="s">
        <v>222</v>
      </c>
      <c r="D114" s="25" t="s">
        <v>223</v>
      </c>
      <c r="E114" s="29">
        <v>4</v>
      </c>
      <c r="F114" s="29" t="s">
        <v>27</v>
      </c>
      <c r="G114" s="30">
        <v>8800000</v>
      </c>
      <c r="H114" s="29"/>
      <c r="I114" s="29"/>
      <c r="J114" s="74"/>
      <c r="K114" s="29">
        <v>1</v>
      </c>
      <c r="L114" s="29" t="s">
        <v>27</v>
      </c>
      <c r="M114" s="30">
        <v>2199800</v>
      </c>
      <c r="N114" s="29"/>
      <c r="O114" s="30">
        <f t="shared" ref="O114:O116" si="17">0+0+0</f>
        <v>0</v>
      </c>
      <c r="P114" s="33"/>
      <c r="Q114" s="30">
        <v>0</v>
      </c>
      <c r="R114" s="32"/>
      <c r="S114" s="34"/>
      <c r="T114" s="33"/>
      <c r="U114" s="30"/>
      <c r="V114" s="36">
        <f t="shared" ref="V114:W144" si="18">N114+P114+R114+T114</f>
        <v>0</v>
      </c>
      <c r="W114" s="34">
        <f>O114+Q114+S114+U114</f>
        <v>0</v>
      </c>
      <c r="X114" s="36">
        <f t="shared" ref="X114:X117" si="19">H114+V114</f>
        <v>0</v>
      </c>
      <c r="Y114" s="34">
        <f t="shared" ref="Y114:Y116" si="20">J114+W114</f>
        <v>0</v>
      </c>
      <c r="Z114" s="36">
        <f t="shared" ref="Z114:Z116" si="21">(X114/E114)*100</f>
        <v>0</v>
      </c>
      <c r="AA114" s="36">
        <f t="shared" ref="AA114:AA117" si="22">(Y114/G114)*100</f>
        <v>0</v>
      </c>
      <c r="AB114" s="42"/>
      <c r="AC114" s="229"/>
    </row>
    <row r="115" spans="1:29" s="38" customFormat="1" ht="145.5" customHeight="1" x14ac:dyDescent="0.4">
      <c r="A115" s="23"/>
      <c r="B115" s="69"/>
      <c r="C115" s="197" t="s">
        <v>224</v>
      </c>
      <c r="D115" s="25" t="s">
        <v>225</v>
      </c>
      <c r="E115" s="29">
        <v>5</v>
      </c>
      <c r="F115" s="29" t="s">
        <v>27</v>
      </c>
      <c r="G115" s="30">
        <v>8800000</v>
      </c>
      <c r="H115" s="29"/>
      <c r="I115" s="29"/>
      <c r="J115" s="74"/>
      <c r="K115" s="29">
        <v>1</v>
      </c>
      <c r="L115" s="29" t="s">
        <v>27</v>
      </c>
      <c r="M115" s="30">
        <v>2199800</v>
      </c>
      <c r="N115" s="29"/>
      <c r="O115" s="30">
        <f t="shared" si="17"/>
        <v>0</v>
      </c>
      <c r="P115" s="33"/>
      <c r="Q115" s="30">
        <v>0</v>
      </c>
      <c r="R115" s="32"/>
      <c r="S115" s="34"/>
      <c r="T115" s="33"/>
      <c r="U115" s="30"/>
      <c r="V115" s="36">
        <f t="shared" si="18"/>
        <v>0</v>
      </c>
      <c r="W115" s="34">
        <f t="shared" si="18"/>
        <v>0</v>
      </c>
      <c r="X115" s="36">
        <f t="shared" si="19"/>
        <v>0</v>
      </c>
      <c r="Y115" s="34">
        <f t="shared" si="20"/>
        <v>0</v>
      </c>
      <c r="Z115" s="36">
        <f t="shared" si="21"/>
        <v>0</v>
      </c>
      <c r="AA115" s="36">
        <f t="shared" si="22"/>
        <v>0</v>
      </c>
      <c r="AB115" s="42"/>
      <c r="AC115" s="229"/>
    </row>
    <row r="116" spans="1:29" s="38" customFormat="1" ht="219" customHeight="1" x14ac:dyDescent="0.4">
      <c r="A116" s="23"/>
      <c r="B116" s="69"/>
      <c r="C116" s="197" t="s">
        <v>226</v>
      </c>
      <c r="D116" s="25" t="s">
        <v>227</v>
      </c>
      <c r="E116" s="29">
        <v>2</v>
      </c>
      <c r="F116" s="29" t="s">
        <v>181</v>
      </c>
      <c r="G116" s="30">
        <v>8800000</v>
      </c>
      <c r="H116" s="29"/>
      <c r="I116" s="29"/>
      <c r="J116" s="74"/>
      <c r="K116" s="29">
        <v>2</v>
      </c>
      <c r="L116" s="29" t="s">
        <v>181</v>
      </c>
      <c r="M116" s="30">
        <v>4950000</v>
      </c>
      <c r="N116" s="29"/>
      <c r="O116" s="30">
        <f t="shared" si="17"/>
        <v>0</v>
      </c>
      <c r="P116" s="33"/>
      <c r="Q116" s="30">
        <f>1800000+0+1800000</f>
        <v>3600000</v>
      </c>
      <c r="R116" s="32"/>
      <c r="S116" s="34"/>
      <c r="T116" s="33"/>
      <c r="U116" s="30"/>
      <c r="V116" s="36">
        <f t="shared" si="18"/>
        <v>0</v>
      </c>
      <c r="W116" s="34">
        <f t="shared" si="18"/>
        <v>3600000</v>
      </c>
      <c r="X116" s="36">
        <f t="shared" si="19"/>
        <v>0</v>
      </c>
      <c r="Y116" s="34">
        <f t="shared" si="20"/>
        <v>3600000</v>
      </c>
      <c r="Z116" s="36">
        <f t="shared" si="21"/>
        <v>0</v>
      </c>
      <c r="AA116" s="36">
        <f t="shared" si="22"/>
        <v>40.909090909090914</v>
      </c>
      <c r="AB116" s="42"/>
      <c r="AC116" s="229"/>
    </row>
    <row r="117" spans="1:29" s="38" customFormat="1" ht="91.5" customHeight="1" x14ac:dyDescent="0.4">
      <c r="A117" s="23"/>
      <c r="B117" s="69"/>
      <c r="C117" s="197" t="s">
        <v>228</v>
      </c>
      <c r="D117" s="25" t="s">
        <v>229</v>
      </c>
      <c r="E117" s="29">
        <v>3</v>
      </c>
      <c r="F117" s="29" t="s">
        <v>181</v>
      </c>
      <c r="G117" s="30">
        <v>48530880</v>
      </c>
      <c r="H117" s="29"/>
      <c r="I117" s="29"/>
      <c r="J117" s="74"/>
      <c r="K117" s="29">
        <v>3</v>
      </c>
      <c r="L117" s="29" t="s">
        <v>181</v>
      </c>
      <c r="M117" s="30">
        <v>12970800</v>
      </c>
      <c r="N117" s="29"/>
      <c r="O117" s="30">
        <f>0+0+0</f>
        <v>0</v>
      </c>
      <c r="P117" s="33"/>
      <c r="Q117" s="30">
        <f>825000+0+825000</f>
        <v>1650000</v>
      </c>
      <c r="R117" s="32"/>
      <c r="S117" s="34"/>
      <c r="T117" s="33"/>
      <c r="U117" s="30"/>
      <c r="V117" s="36">
        <f t="shared" si="18"/>
        <v>0</v>
      </c>
      <c r="W117" s="34">
        <f t="shared" si="18"/>
        <v>1650000</v>
      </c>
      <c r="X117" s="36">
        <f t="shared" si="19"/>
        <v>0</v>
      </c>
      <c r="Y117" s="34">
        <f>J117+W117</f>
        <v>1650000</v>
      </c>
      <c r="Z117" s="36">
        <f>(X117/E117)*100</f>
        <v>0</v>
      </c>
      <c r="AA117" s="36">
        <f t="shared" si="22"/>
        <v>3.3998971376575078</v>
      </c>
      <c r="AB117" s="42"/>
      <c r="AC117" s="229"/>
    </row>
    <row r="118" spans="1:29" s="56" customFormat="1" ht="172.5" customHeight="1" x14ac:dyDescent="0.4">
      <c r="A118" s="47"/>
      <c r="B118" s="66"/>
      <c r="C118" s="48" t="s">
        <v>230</v>
      </c>
      <c r="D118" s="48" t="s">
        <v>231</v>
      </c>
      <c r="E118" s="52">
        <v>100</v>
      </c>
      <c r="F118" s="52" t="s">
        <v>20</v>
      </c>
      <c r="G118" s="51">
        <f>SUM(G120:G123)</f>
        <v>86260000</v>
      </c>
      <c r="H118" s="52"/>
      <c r="I118" s="52"/>
      <c r="J118" s="84"/>
      <c r="K118" s="52">
        <v>100</v>
      </c>
      <c r="L118" s="52" t="s">
        <v>20</v>
      </c>
      <c r="M118" s="51">
        <f>SUM(M119:M123)</f>
        <v>8364697445</v>
      </c>
      <c r="N118" s="52"/>
      <c r="O118" s="51">
        <f>O119+O120+O121+O122+O123</f>
        <v>1979656990</v>
      </c>
      <c r="P118" s="51"/>
      <c r="Q118" s="51">
        <f>Q119+Q120+Q121+Q122+Q123</f>
        <v>5607508709</v>
      </c>
      <c r="R118" s="52"/>
      <c r="S118" s="51"/>
      <c r="T118" s="52"/>
      <c r="U118" s="51"/>
      <c r="V118" s="49">
        <f t="shared" ref="V118:W120" si="23">N118+P118+R118+T118</f>
        <v>0</v>
      </c>
      <c r="W118" s="51">
        <f t="shared" si="23"/>
        <v>7587165699</v>
      </c>
      <c r="X118" s="52"/>
      <c r="Y118" s="252">
        <f>J117+W117</f>
        <v>1650000</v>
      </c>
      <c r="Z118" s="49">
        <f>(X118/E118)*100</f>
        <v>0</v>
      </c>
      <c r="AA118" s="49">
        <f>(Y118/G118)*100</f>
        <v>1.9128217018316716</v>
      </c>
      <c r="AB118" s="55"/>
      <c r="AC118" s="218"/>
    </row>
    <row r="119" spans="1:29" s="38" customFormat="1" ht="128.25" customHeight="1" x14ac:dyDescent="0.4">
      <c r="A119" s="23"/>
      <c r="B119" s="69"/>
      <c r="C119" s="197" t="s">
        <v>297</v>
      </c>
      <c r="D119" s="25"/>
      <c r="E119" s="29"/>
      <c r="F119" s="29"/>
      <c r="G119" s="30"/>
      <c r="H119" s="29"/>
      <c r="I119" s="29"/>
      <c r="J119" s="74"/>
      <c r="K119" s="29"/>
      <c r="L119" s="29"/>
      <c r="M119" s="30">
        <v>8348782445</v>
      </c>
      <c r="N119" s="29"/>
      <c r="O119" s="30">
        <v>1979194290</v>
      </c>
      <c r="P119" s="33"/>
      <c r="Q119" s="30">
        <f>831101591+525231230+4250344788</f>
        <v>5606677609</v>
      </c>
      <c r="R119" s="32"/>
      <c r="S119" s="34"/>
      <c r="T119" s="33"/>
      <c r="U119" s="30"/>
      <c r="V119" s="36">
        <f t="shared" si="23"/>
        <v>0</v>
      </c>
      <c r="W119" s="34">
        <f t="shared" si="23"/>
        <v>7585871899</v>
      </c>
      <c r="X119" s="36">
        <f>H119+V119</f>
        <v>0</v>
      </c>
      <c r="Y119" s="34">
        <f>J119+W119</f>
        <v>7585871899</v>
      </c>
      <c r="Z119" s="257" t="e">
        <f>(X119/E119)*100</f>
        <v>#DIV/0!</v>
      </c>
      <c r="AA119" s="257" t="e">
        <f>(Y119/G119)*100</f>
        <v>#DIV/0!</v>
      </c>
      <c r="AB119" s="42"/>
      <c r="AC119" s="229"/>
    </row>
    <row r="120" spans="1:29" s="38" customFormat="1" ht="128.25" customHeight="1" x14ac:dyDescent="0.4">
      <c r="A120" s="23"/>
      <c r="B120" s="69"/>
      <c r="C120" s="197" t="s">
        <v>232</v>
      </c>
      <c r="D120" s="25" t="s">
        <v>236</v>
      </c>
      <c r="E120" s="29">
        <v>1</v>
      </c>
      <c r="F120" s="29" t="s">
        <v>27</v>
      </c>
      <c r="G120" s="30">
        <v>23000000</v>
      </c>
      <c r="H120" s="29"/>
      <c r="I120" s="29"/>
      <c r="J120" s="74"/>
      <c r="K120" s="29">
        <v>1</v>
      </c>
      <c r="L120" s="29" t="s">
        <v>27</v>
      </c>
      <c r="M120" s="30">
        <v>100000</v>
      </c>
      <c r="N120" s="29"/>
      <c r="O120" s="30">
        <f>0+0+0</f>
        <v>0</v>
      </c>
      <c r="P120" s="33"/>
      <c r="Q120" s="30">
        <v>0</v>
      </c>
      <c r="R120" s="32"/>
      <c r="S120" s="34"/>
      <c r="T120" s="33"/>
      <c r="U120" s="30"/>
      <c r="V120" s="36">
        <f t="shared" si="23"/>
        <v>0</v>
      </c>
      <c r="W120" s="34">
        <f t="shared" si="23"/>
        <v>0</v>
      </c>
      <c r="X120" s="36">
        <f>H120+V120</f>
        <v>0</v>
      </c>
      <c r="Y120" s="36">
        <f>J120+W120</f>
        <v>0</v>
      </c>
      <c r="Z120" s="36">
        <f>(X120/E120)*100</f>
        <v>0</v>
      </c>
      <c r="AA120" s="36">
        <f>(Y120/G120)*100</f>
        <v>0</v>
      </c>
      <c r="AB120" s="42"/>
      <c r="AC120" s="229"/>
    </row>
    <row r="121" spans="1:29" s="38" customFormat="1" ht="176.25" customHeight="1" x14ac:dyDescent="0.4">
      <c r="A121" s="23"/>
      <c r="B121" s="69"/>
      <c r="C121" s="197" t="s">
        <v>233</v>
      </c>
      <c r="D121" s="25" t="s">
        <v>237</v>
      </c>
      <c r="E121" s="29">
        <v>1</v>
      </c>
      <c r="F121" s="29" t="s">
        <v>181</v>
      </c>
      <c r="G121" s="30">
        <v>6160000</v>
      </c>
      <c r="H121" s="29"/>
      <c r="I121" s="29"/>
      <c r="J121" s="74"/>
      <c r="K121" s="29">
        <v>1</v>
      </c>
      <c r="L121" s="29" t="s">
        <v>181</v>
      </c>
      <c r="M121" s="30">
        <v>1540000</v>
      </c>
      <c r="N121" s="29"/>
      <c r="O121" s="30">
        <f>0+0+0</f>
        <v>0</v>
      </c>
      <c r="P121" s="33"/>
      <c r="Q121" s="30">
        <v>0</v>
      </c>
      <c r="R121" s="32"/>
      <c r="S121" s="34"/>
      <c r="T121" s="33"/>
      <c r="U121" s="30"/>
      <c r="V121" s="36">
        <f t="shared" si="18"/>
        <v>0</v>
      </c>
      <c r="W121" s="34">
        <f t="shared" si="18"/>
        <v>0</v>
      </c>
      <c r="X121" s="36">
        <f t="shared" ref="X121:X125" si="24">H121+V121</f>
        <v>0</v>
      </c>
      <c r="Y121" s="36">
        <f t="shared" ref="Y121:Y134" si="25">J121+W121</f>
        <v>0</v>
      </c>
      <c r="Z121" s="36">
        <f t="shared" ref="Z121:Z122" si="26">(X121/E121)*100</f>
        <v>0</v>
      </c>
      <c r="AA121" s="36">
        <f t="shared" ref="AA121:AA122" si="27">(Y121/G121)*100</f>
        <v>0</v>
      </c>
      <c r="AB121" s="42"/>
      <c r="AC121" s="229"/>
    </row>
    <row r="122" spans="1:29" s="38" customFormat="1" ht="128.25" customHeight="1" x14ac:dyDescent="0.4">
      <c r="A122" s="23"/>
      <c r="B122" s="69"/>
      <c r="C122" s="197" t="s">
        <v>234</v>
      </c>
      <c r="D122" s="25" t="s">
        <v>238</v>
      </c>
      <c r="E122" s="29">
        <v>4</v>
      </c>
      <c r="F122" s="29" t="s">
        <v>27</v>
      </c>
      <c r="G122" s="30">
        <v>4000000</v>
      </c>
      <c r="H122" s="29"/>
      <c r="I122" s="29"/>
      <c r="J122" s="74"/>
      <c r="K122" s="29">
        <v>4</v>
      </c>
      <c r="L122" s="29" t="s">
        <v>27</v>
      </c>
      <c r="M122" s="30">
        <v>1000000</v>
      </c>
      <c r="N122" s="29"/>
      <c r="O122" s="30">
        <f>0+0+117200</f>
        <v>117200</v>
      </c>
      <c r="P122" s="33"/>
      <c r="Q122" s="30">
        <f>0+0+221200</f>
        <v>221200</v>
      </c>
      <c r="R122" s="32"/>
      <c r="S122" s="34"/>
      <c r="T122" s="33"/>
      <c r="U122" s="30"/>
      <c r="V122" s="36">
        <f t="shared" si="18"/>
        <v>0</v>
      </c>
      <c r="W122" s="34">
        <f t="shared" si="18"/>
        <v>338400</v>
      </c>
      <c r="X122" s="36">
        <f t="shared" si="24"/>
        <v>0</v>
      </c>
      <c r="Y122" s="36">
        <f t="shared" si="25"/>
        <v>338400</v>
      </c>
      <c r="Z122" s="36">
        <f t="shared" si="26"/>
        <v>0</v>
      </c>
      <c r="AA122" s="36">
        <f t="shared" si="27"/>
        <v>8.4599999999999991</v>
      </c>
      <c r="AB122" s="42"/>
      <c r="AC122" s="229"/>
    </row>
    <row r="123" spans="1:29" s="38" customFormat="1" ht="192.75" customHeight="1" x14ac:dyDescent="0.4">
      <c r="A123" s="23"/>
      <c r="B123" s="69"/>
      <c r="C123" s="197" t="s">
        <v>235</v>
      </c>
      <c r="D123" s="25" t="s">
        <v>239</v>
      </c>
      <c r="E123" s="29">
        <v>18</v>
      </c>
      <c r="F123" s="29" t="s">
        <v>181</v>
      </c>
      <c r="G123" s="30">
        <v>53100000</v>
      </c>
      <c r="H123" s="29"/>
      <c r="I123" s="29"/>
      <c r="J123" s="74"/>
      <c r="K123" s="29">
        <v>18</v>
      </c>
      <c r="L123" s="29" t="s">
        <v>181</v>
      </c>
      <c r="M123" s="30">
        <v>13275000</v>
      </c>
      <c r="N123" s="29"/>
      <c r="O123" s="30">
        <f>0+0+345500</f>
        <v>345500</v>
      </c>
      <c r="P123" s="33"/>
      <c r="Q123" s="30">
        <f>0+0+609900</f>
        <v>609900</v>
      </c>
      <c r="R123" s="32"/>
      <c r="S123" s="34"/>
      <c r="T123" s="33"/>
      <c r="U123" s="30"/>
      <c r="V123" s="36">
        <f t="shared" si="18"/>
        <v>0</v>
      </c>
      <c r="W123" s="34">
        <f t="shared" si="18"/>
        <v>955400</v>
      </c>
      <c r="X123" s="36">
        <f t="shared" si="24"/>
        <v>0</v>
      </c>
      <c r="Y123" s="34">
        <f t="shared" si="25"/>
        <v>955400</v>
      </c>
      <c r="Z123" s="35">
        <f>(X123/E123)*100</f>
        <v>0</v>
      </c>
      <c r="AA123" s="36">
        <f>(Y123/G123)*100</f>
        <v>1.79924670433145</v>
      </c>
      <c r="AB123" s="42"/>
      <c r="AC123" s="229"/>
    </row>
    <row r="124" spans="1:29" s="56" customFormat="1" ht="172.5" customHeight="1" x14ac:dyDescent="0.4">
      <c r="A124" s="47"/>
      <c r="B124" s="66"/>
      <c r="C124" s="48" t="s">
        <v>240</v>
      </c>
      <c r="D124" s="48" t="s">
        <v>245</v>
      </c>
      <c r="E124" s="52">
        <v>100</v>
      </c>
      <c r="F124" s="52" t="s">
        <v>20</v>
      </c>
      <c r="G124" s="51">
        <v>13200000</v>
      </c>
      <c r="H124" s="52"/>
      <c r="I124" s="52"/>
      <c r="J124" s="84"/>
      <c r="K124" s="52">
        <v>100</v>
      </c>
      <c r="L124" s="52" t="s">
        <v>20</v>
      </c>
      <c r="M124" s="51">
        <f>M125</f>
        <v>3299700</v>
      </c>
      <c r="N124" s="52"/>
      <c r="O124" s="51">
        <f>O125</f>
        <v>0</v>
      </c>
      <c r="P124" s="51"/>
      <c r="Q124" s="51">
        <f>Q125</f>
        <v>0</v>
      </c>
      <c r="R124" s="52"/>
      <c r="S124" s="51"/>
      <c r="T124" s="52"/>
      <c r="U124" s="51"/>
      <c r="V124" s="52">
        <f t="shared" si="18"/>
        <v>0</v>
      </c>
      <c r="W124" s="51">
        <f t="shared" si="18"/>
        <v>0</v>
      </c>
      <c r="X124" s="248">
        <f t="shared" si="24"/>
        <v>0</v>
      </c>
      <c r="Y124" s="250">
        <f t="shared" si="25"/>
        <v>0</v>
      </c>
      <c r="Z124" s="49">
        <f>(X124/E124)*100</f>
        <v>0</v>
      </c>
      <c r="AA124" s="49">
        <f>(Y124/G124)*100</f>
        <v>0</v>
      </c>
      <c r="AB124" s="55"/>
      <c r="AC124" s="218"/>
    </row>
    <row r="125" spans="1:29" s="38" customFormat="1" ht="192.75" customHeight="1" x14ac:dyDescent="0.4">
      <c r="A125" s="23"/>
      <c r="B125" s="69"/>
      <c r="C125" s="197" t="s">
        <v>241</v>
      </c>
      <c r="D125" s="25" t="s">
        <v>242</v>
      </c>
      <c r="E125" s="29">
        <v>4</v>
      </c>
      <c r="F125" s="29" t="s">
        <v>27</v>
      </c>
      <c r="G125" s="30">
        <v>13200000</v>
      </c>
      <c r="H125" s="29"/>
      <c r="I125" s="29"/>
      <c r="J125" s="74"/>
      <c r="K125" s="29">
        <v>4</v>
      </c>
      <c r="L125" s="29" t="s">
        <v>27</v>
      </c>
      <c r="M125" s="30">
        <v>3299700</v>
      </c>
      <c r="N125" s="29"/>
      <c r="O125" s="30">
        <f>0+0+0</f>
        <v>0</v>
      </c>
      <c r="P125" s="33"/>
      <c r="Q125" s="30">
        <v>0</v>
      </c>
      <c r="R125" s="32"/>
      <c r="S125" s="34"/>
      <c r="T125" s="33"/>
      <c r="U125" s="30"/>
      <c r="V125" s="36">
        <f t="shared" si="18"/>
        <v>0</v>
      </c>
      <c r="W125" s="34">
        <f t="shared" si="18"/>
        <v>0</v>
      </c>
      <c r="X125" s="249">
        <f t="shared" si="24"/>
        <v>0</v>
      </c>
      <c r="Y125" s="249">
        <f t="shared" si="25"/>
        <v>0</v>
      </c>
      <c r="Z125" s="36">
        <f t="shared" ref="Z125:Z136" si="28">(X125/E125)*100</f>
        <v>0</v>
      </c>
      <c r="AA125" s="36">
        <f t="shared" ref="AA125:AA136" si="29">(Y125/G125)*100</f>
        <v>0</v>
      </c>
      <c r="AB125" s="42"/>
      <c r="AC125" s="229"/>
    </row>
    <row r="126" spans="1:29" s="56" customFormat="1" ht="172.5" customHeight="1" x14ac:dyDescent="0.4">
      <c r="A126" s="47"/>
      <c r="B126" s="66"/>
      <c r="C126" s="48" t="s">
        <v>243</v>
      </c>
      <c r="D126" s="48" t="s">
        <v>244</v>
      </c>
      <c r="E126" s="52">
        <v>100</v>
      </c>
      <c r="F126" s="52" t="s">
        <v>20</v>
      </c>
      <c r="G126" s="51">
        <v>92000000</v>
      </c>
      <c r="H126" s="52"/>
      <c r="I126" s="52"/>
      <c r="J126" s="84"/>
      <c r="K126" s="52">
        <v>100</v>
      </c>
      <c r="L126" s="52" t="s">
        <v>20</v>
      </c>
      <c r="M126" s="51">
        <f>M127</f>
        <v>38026000</v>
      </c>
      <c r="N126" s="52"/>
      <c r="O126" s="51">
        <f>O127</f>
        <v>0</v>
      </c>
      <c r="P126" s="51"/>
      <c r="Q126" s="51">
        <f>Q127</f>
        <v>0</v>
      </c>
      <c r="R126" s="52"/>
      <c r="S126" s="51"/>
      <c r="T126" s="52"/>
      <c r="U126" s="51"/>
      <c r="V126" s="52">
        <f t="shared" si="18"/>
        <v>0</v>
      </c>
      <c r="W126" s="251">
        <f t="shared" si="18"/>
        <v>0</v>
      </c>
      <c r="X126" s="248"/>
      <c r="Y126" s="250">
        <f t="shared" si="25"/>
        <v>0</v>
      </c>
      <c r="Z126" s="49">
        <f t="shared" si="28"/>
        <v>0</v>
      </c>
      <c r="AA126" s="49">
        <f t="shared" si="29"/>
        <v>0</v>
      </c>
      <c r="AB126" s="55"/>
      <c r="AC126" s="218"/>
    </row>
    <row r="127" spans="1:29" s="38" customFormat="1" ht="192.75" customHeight="1" x14ac:dyDescent="0.4">
      <c r="A127" s="23"/>
      <c r="B127" s="69"/>
      <c r="C127" s="197" t="s">
        <v>246</v>
      </c>
      <c r="D127" s="25" t="s">
        <v>247</v>
      </c>
      <c r="E127" s="29">
        <v>60</v>
      </c>
      <c r="F127" s="29" t="s">
        <v>110</v>
      </c>
      <c r="G127" s="30">
        <v>92000000</v>
      </c>
      <c r="H127" s="29"/>
      <c r="I127" s="29"/>
      <c r="J127" s="74"/>
      <c r="K127" s="29">
        <v>60</v>
      </c>
      <c r="L127" s="29" t="s">
        <v>110</v>
      </c>
      <c r="M127" s="30">
        <v>38026000</v>
      </c>
      <c r="N127" s="29"/>
      <c r="O127" s="30">
        <f>0+0+0</f>
        <v>0</v>
      </c>
      <c r="P127" s="33"/>
      <c r="Q127" s="34">
        <f>0+0+0</f>
        <v>0</v>
      </c>
      <c r="R127" s="32"/>
      <c r="S127" s="34"/>
      <c r="T127" s="33"/>
      <c r="U127" s="30"/>
      <c r="V127" s="36">
        <f t="shared" si="18"/>
        <v>0</v>
      </c>
      <c r="W127" s="34">
        <f t="shared" si="18"/>
        <v>0</v>
      </c>
      <c r="X127" s="249">
        <f>H127+V127</f>
        <v>0</v>
      </c>
      <c r="Y127" s="249">
        <f t="shared" si="25"/>
        <v>0</v>
      </c>
      <c r="Z127" s="36">
        <f t="shared" si="28"/>
        <v>0</v>
      </c>
      <c r="AA127" s="36">
        <f t="shared" si="29"/>
        <v>0</v>
      </c>
      <c r="AB127" s="42"/>
      <c r="AC127" s="229"/>
    </row>
    <row r="128" spans="1:29" s="56" customFormat="1" ht="172.5" customHeight="1" x14ac:dyDescent="0.4">
      <c r="A128" s="47"/>
      <c r="B128" s="66"/>
      <c r="C128" s="48" t="s">
        <v>248</v>
      </c>
      <c r="D128" s="48" t="s">
        <v>249</v>
      </c>
      <c r="E128" s="52">
        <v>100</v>
      </c>
      <c r="F128" s="52" t="s">
        <v>20</v>
      </c>
      <c r="G128" s="51">
        <v>2092745222</v>
      </c>
      <c r="H128" s="52"/>
      <c r="I128" s="52"/>
      <c r="J128" s="84"/>
      <c r="K128" s="52">
        <v>100</v>
      </c>
      <c r="L128" s="52" t="s">
        <v>20</v>
      </c>
      <c r="M128" s="51">
        <f>SUM(M129:M136)</f>
        <v>491718700</v>
      </c>
      <c r="N128" s="52"/>
      <c r="O128" s="51">
        <f>O129+O130+O131+O132+O133+O134+O135+O136</f>
        <v>55741244</v>
      </c>
      <c r="P128" s="51"/>
      <c r="Q128" s="51">
        <f>Q129+Q130+Q131+Q132+Q133+Q134+Q135+Q136</f>
        <v>334180160</v>
      </c>
      <c r="R128" s="52"/>
      <c r="S128" s="51"/>
      <c r="T128" s="52"/>
      <c r="U128" s="51"/>
      <c r="V128" s="52">
        <f t="shared" si="18"/>
        <v>0</v>
      </c>
      <c r="W128" s="51">
        <f t="shared" si="18"/>
        <v>389921404</v>
      </c>
      <c r="X128" s="248"/>
      <c r="Y128" s="250">
        <f t="shared" si="25"/>
        <v>389921404</v>
      </c>
      <c r="Z128" s="49">
        <f t="shared" si="28"/>
        <v>0</v>
      </c>
      <c r="AA128" s="49">
        <f t="shared" si="29"/>
        <v>18.632053242838559</v>
      </c>
      <c r="AB128" s="55"/>
      <c r="AC128" s="218"/>
    </row>
    <row r="129" spans="1:29" s="38" customFormat="1" ht="192.75" customHeight="1" x14ac:dyDescent="0.4">
      <c r="A129" s="23"/>
      <c r="B129" s="69"/>
      <c r="C129" s="197" t="s">
        <v>250</v>
      </c>
      <c r="D129" s="25" t="s">
        <v>251</v>
      </c>
      <c r="E129" s="29">
        <v>3</v>
      </c>
      <c r="F129" s="29" t="s">
        <v>192</v>
      </c>
      <c r="G129" s="30">
        <v>28850360</v>
      </c>
      <c r="H129" s="29"/>
      <c r="I129" s="29"/>
      <c r="J129" s="74"/>
      <c r="K129" s="29">
        <v>3</v>
      </c>
      <c r="L129" s="29" t="s">
        <v>192</v>
      </c>
      <c r="M129" s="30">
        <v>9301500</v>
      </c>
      <c r="N129" s="29"/>
      <c r="O129" s="30">
        <f>0+0+0</f>
        <v>0</v>
      </c>
      <c r="P129" s="33"/>
      <c r="Q129" s="30">
        <f>0+0+7182000</f>
        <v>7182000</v>
      </c>
      <c r="R129" s="32"/>
      <c r="S129" s="34"/>
      <c r="T129" s="33"/>
      <c r="U129" s="30"/>
      <c r="V129" s="36">
        <f t="shared" si="18"/>
        <v>0</v>
      </c>
      <c r="W129" s="34">
        <f t="shared" si="18"/>
        <v>7182000</v>
      </c>
      <c r="X129" s="249">
        <f>H129+V129</f>
        <v>0</v>
      </c>
      <c r="Y129" s="249">
        <f t="shared" si="25"/>
        <v>7182000</v>
      </c>
      <c r="Z129" s="36">
        <f t="shared" si="28"/>
        <v>0</v>
      </c>
      <c r="AA129" s="36">
        <f t="shared" si="29"/>
        <v>24.89397012723585</v>
      </c>
      <c r="AB129" s="42"/>
      <c r="AC129" s="229"/>
    </row>
    <row r="130" spans="1:29" s="38" customFormat="1" ht="192.75" customHeight="1" x14ac:dyDescent="0.4">
      <c r="A130" s="23"/>
      <c r="B130" s="69"/>
      <c r="C130" s="197" t="s">
        <v>252</v>
      </c>
      <c r="D130" s="25" t="s">
        <v>253</v>
      </c>
      <c r="E130" s="29">
        <v>4</v>
      </c>
      <c r="F130" s="29" t="s">
        <v>192</v>
      </c>
      <c r="G130" s="30">
        <v>45541320</v>
      </c>
      <c r="H130" s="29"/>
      <c r="I130" s="29"/>
      <c r="J130" s="74"/>
      <c r="K130" s="29">
        <v>4</v>
      </c>
      <c r="L130" s="29" t="s">
        <v>192</v>
      </c>
      <c r="M130" s="30">
        <v>100000</v>
      </c>
      <c r="N130" s="29"/>
      <c r="O130" s="30">
        <f t="shared" ref="O130:O131" si="30">0+0+0</f>
        <v>0</v>
      </c>
      <c r="P130" s="33"/>
      <c r="Q130" s="30">
        <f>0+0+0</f>
        <v>0</v>
      </c>
      <c r="R130" s="32"/>
      <c r="S130" s="34"/>
      <c r="T130" s="33"/>
      <c r="U130" s="30"/>
      <c r="V130" s="36">
        <f t="shared" si="18"/>
        <v>0</v>
      </c>
      <c r="W130" s="34">
        <f t="shared" si="18"/>
        <v>0</v>
      </c>
      <c r="X130" s="36">
        <f>H130+V130</f>
        <v>0</v>
      </c>
      <c r="Y130" s="34">
        <f t="shared" si="25"/>
        <v>0</v>
      </c>
      <c r="Z130" s="36">
        <f t="shared" si="28"/>
        <v>0</v>
      </c>
      <c r="AA130" s="36">
        <f t="shared" si="29"/>
        <v>0</v>
      </c>
      <c r="AB130" s="42"/>
      <c r="AC130" s="229"/>
    </row>
    <row r="131" spans="1:29" s="38" customFormat="1" ht="192.75" customHeight="1" x14ac:dyDescent="0.4">
      <c r="A131" s="23"/>
      <c r="B131" s="69"/>
      <c r="C131" s="197" t="s">
        <v>254</v>
      </c>
      <c r="D131" s="25" t="s">
        <v>255</v>
      </c>
      <c r="E131" s="29">
        <v>4</v>
      </c>
      <c r="F131" s="29" t="s">
        <v>192</v>
      </c>
      <c r="G131" s="30">
        <v>324019080</v>
      </c>
      <c r="H131" s="29"/>
      <c r="I131" s="29"/>
      <c r="J131" s="74"/>
      <c r="K131" s="29">
        <v>4</v>
      </c>
      <c r="L131" s="29" t="s">
        <v>192</v>
      </c>
      <c r="M131" s="30">
        <v>80980700</v>
      </c>
      <c r="N131" s="29"/>
      <c r="O131" s="30">
        <f t="shared" si="30"/>
        <v>0</v>
      </c>
      <c r="P131" s="33"/>
      <c r="Q131" s="30">
        <f>32471000+0+32471000</f>
        <v>64942000</v>
      </c>
      <c r="R131" s="32"/>
      <c r="S131" s="34"/>
      <c r="T131" s="33"/>
      <c r="U131" s="30"/>
      <c r="V131" s="36">
        <f t="shared" si="18"/>
        <v>0</v>
      </c>
      <c r="W131" s="34">
        <f t="shared" si="18"/>
        <v>64942000</v>
      </c>
      <c r="X131" s="36">
        <f>H131+V131</f>
        <v>0</v>
      </c>
      <c r="Y131" s="34">
        <f t="shared" si="25"/>
        <v>64942000</v>
      </c>
      <c r="Z131" s="36">
        <f t="shared" si="28"/>
        <v>0</v>
      </c>
      <c r="AA131" s="36">
        <f t="shared" si="29"/>
        <v>20.042646871289186</v>
      </c>
      <c r="AB131" s="42"/>
      <c r="AC131" s="229"/>
    </row>
    <row r="132" spans="1:29" s="38" customFormat="1" ht="192.75" customHeight="1" x14ac:dyDescent="0.4">
      <c r="A132" s="23"/>
      <c r="B132" s="69"/>
      <c r="C132" s="197" t="s">
        <v>256</v>
      </c>
      <c r="D132" s="25" t="s">
        <v>261</v>
      </c>
      <c r="E132" s="29">
        <v>4</v>
      </c>
      <c r="F132" s="29" t="s">
        <v>192</v>
      </c>
      <c r="G132" s="30">
        <v>570904358</v>
      </c>
      <c r="H132" s="29"/>
      <c r="I132" s="29"/>
      <c r="J132" s="74"/>
      <c r="K132" s="29">
        <v>4</v>
      </c>
      <c r="L132" s="29" t="s">
        <v>192</v>
      </c>
      <c r="M132" s="30">
        <v>135310400</v>
      </c>
      <c r="N132" s="29"/>
      <c r="O132" s="30">
        <f>0+22550000+11580000</f>
        <v>34130000</v>
      </c>
      <c r="P132" s="33"/>
      <c r="Q132" s="30">
        <f>1900000+1680000+70061000</f>
        <v>73641000</v>
      </c>
      <c r="R132" s="32"/>
      <c r="S132" s="34"/>
      <c r="T132" s="33"/>
      <c r="U132" s="30"/>
      <c r="V132" s="36">
        <f>N132+P132+R132+T132</f>
        <v>0</v>
      </c>
      <c r="W132" s="34">
        <f>O132+Q132+S132+U132</f>
        <v>107771000</v>
      </c>
      <c r="X132" s="36">
        <f>H132+V132</f>
        <v>0</v>
      </c>
      <c r="Y132" s="34">
        <f t="shared" si="25"/>
        <v>107771000</v>
      </c>
      <c r="Z132" s="36">
        <f t="shared" si="28"/>
        <v>0</v>
      </c>
      <c r="AA132" s="36">
        <f t="shared" si="29"/>
        <v>18.877242482006064</v>
      </c>
      <c r="AB132" s="42"/>
      <c r="AC132" s="229"/>
    </row>
    <row r="133" spans="1:29" s="38" customFormat="1" ht="192.75" customHeight="1" x14ac:dyDescent="0.4">
      <c r="A133" s="23"/>
      <c r="B133" s="69"/>
      <c r="C133" s="197" t="s">
        <v>257</v>
      </c>
      <c r="D133" s="25" t="s">
        <v>262</v>
      </c>
      <c r="E133" s="29">
        <v>6</v>
      </c>
      <c r="F133" s="29" t="s">
        <v>192</v>
      </c>
      <c r="G133" s="30">
        <v>60000000</v>
      </c>
      <c r="H133" s="29"/>
      <c r="I133" s="29"/>
      <c r="J133" s="74"/>
      <c r="K133" s="29">
        <v>6</v>
      </c>
      <c r="L133" s="29" t="s">
        <v>192</v>
      </c>
      <c r="M133" s="30">
        <v>18248500</v>
      </c>
      <c r="N133" s="29"/>
      <c r="O133" s="30">
        <f>0+0+0</f>
        <v>0</v>
      </c>
      <c r="P133" s="33"/>
      <c r="Q133" s="30">
        <f>0+0+1196600</f>
        <v>1196600</v>
      </c>
      <c r="R133" s="32"/>
      <c r="S133" s="34"/>
      <c r="T133" s="33"/>
      <c r="U133" s="30"/>
      <c r="V133" s="36">
        <f t="shared" si="18"/>
        <v>0</v>
      </c>
      <c r="W133" s="34">
        <f t="shared" si="18"/>
        <v>1196600</v>
      </c>
      <c r="X133" s="36">
        <f t="shared" ref="X133" si="31">H133+V133</f>
        <v>0</v>
      </c>
      <c r="Y133" s="34">
        <f>J133+W133</f>
        <v>1196600</v>
      </c>
      <c r="Z133" s="36">
        <f t="shared" si="28"/>
        <v>0</v>
      </c>
      <c r="AA133" s="36">
        <f t="shared" si="29"/>
        <v>1.9943333333333333</v>
      </c>
      <c r="AB133" s="42"/>
      <c r="AC133" s="229"/>
    </row>
    <row r="134" spans="1:29" s="38" customFormat="1" ht="192.75" customHeight="1" x14ac:dyDescent="0.4">
      <c r="A134" s="23"/>
      <c r="B134" s="69"/>
      <c r="C134" s="197" t="s">
        <v>258</v>
      </c>
      <c r="D134" s="25" t="s">
        <v>263</v>
      </c>
      <c r="E134" s="29">
        <v>1</v>
      </c>
      <c r="F134" s="29" t="s">
        <v>27</v>
      </c>
      <c r="G134" s="30">
        <v>5275600</v>
      </c>
      <c r="H134" s="29"/>
      <c r="I134" s="29"/>
      <c r="J134" s="74"/>
      <c r="K134" s="29">
        <v>1</v>
      </c>
      <c r="L134" s="29" t="s">
        <v>27</v>
      </c>
      <c r="M134" s="30">
        <v>1314000</v>
      </c>
      <c r="N134" s="29"/>
      <c r="O134" s="30">
        <f>0+0+0</f>
        <v>0</v>
      </c>
      <c r="P134" s="33"/>
      <c r="Q134" s="30">
        <f>255000+0+510000</f>
        <v>765000</v>
      </c>
      <c r="R134" s="32"/>
      <c r="S134" s="34"/>
      <c r="T134" s="33"/>
      <c r="U134" s="30"/>
      <c r="V134" s="36">
        <f t="shared" si="18"/>
        <v>0</v>
      </c>
      <c r="W134" s="34">
        <f t="shared" si="18"/>
        <v>765000</v>
      </c>
      <c r="X134" s="36">
        <f>H134+V134</f>
        <v>0</v>
      </c>
      <c r="Y134" s="34">
        <f t="shared" si="25"/>
        <v>765000</v>
      </c>
      <c r="Z134" s="36">
        <f t="shared" si="28"/>
        <v>0</v>
      </c>
      <c r="AA134" s="36">
        <f t="shared" si="29"/>
        <v>14.500720297217379</v>
      </c>
      <c r="AB134" s="42"/>
      <c r="AC134" s="229"/>
    </row>
    <row r="135" spans="1:29" s="38" customFormat="1" ht="192.75" customHeight="1" x14ac:dyDescent="0.4">
      <c r="A135" s="23"/>
      <c r="B135" s="69"/>
      <c r="C135" s="197" t="s">
        <v>259</v>
      </c>
      <c r="D135" s="25" t="s">
        <v>264</v>
      </c>
      <c r="E135" s="29">
        <v>6</v>
      </c>
      <c r="F135" s="29" t="s">
        <v>181</v>
      </c>
      <c r="G135" s="30">
        <v>43999560</v>
      </c>
      <c r="H135" s="29"/>
      <c r="I135" s="29"/>
      <c r="J135" s="74"/>
      <c r="K135" s="29">
        <v>6</v>
      </c>
      <c r="L135" s="29" t="s">
        <v>181</v>
      </c>
      <c r="M135" s="30">
        <v>13554400</v>
      </c>
      <c r="N135" s="29"/>
      <c r="O135" s="30">
        <f>0+450000+350000</f>
        <v>800000</v>
      </c>
      <c r="P135" s="33"/>
      <c r="Q135" s="30">
        <f>0+1050000+2200000</f>
        <v>3250000</v>
      </c>
      <c r="R135" s="32"/>
      <c r="S135" s="34"/>
      <c r="T135" s="33"/>
      <c r="U135" s="30"/>
      <c r="V135" s="36">
        <f t="shared" si="18"/>
        <v>0</v>
      </c>
      <c r="W135" s="34">
        <f t="shared" si="18"/>
        <v>4050000</v>
      </c>
      <c r="X135" s="36">
        <f>H135+V135</f>
        <v>0</v>
      </c>
      <c r="Y135" s="34">
        <f>J135+W135</f>
        <v>4050000</v>
      </c>
      <c r="Z135" s="36">
        <f t="shared" si="28"/>
        <v>0</v>
      </c>
      <c r="AA135" s="36">
        <f t="shared" si="29"/>
        <v>9.2046375009204642</v>
      </c>
      <c r="AB135" s="42"/>
      <c r="AC135" s="229"/>
    </row>
    <row r="136" spans="1:29" s="38" customFormat="1" ht="192.75" customHeight="1" x14ac:dyDescent="0.4">
      <c r="A136" s="23"/>
      <c r="B136" s="69"/>
      <c r="C136" s="197" t="s">
        <v>260</v>
      </c>
      <c r="D136" s="25" t="s">
        <v>265</v>
      </c>
      <c r="E136" s="29">
        <v>1</v>
      </c>
      <c r="F136" s="29" t="s">
        <v>181</v>
      </c>
      <c r="G136" s="30">
        <v>1014154994</v>
      </c>
      <c r="H136" s="29"/>
      <c r="I136" s="29"/>
      <c r="J136" s="74"/>
      <c r="K136" s="29">
        <v>1</v>
      </c>
      <c r="L136" s="29" t="s">
        <v>181</v>
      </c>
      <c r="M136" s="30">
        <v>232909200</v>
      </c>
      <c r="N136" s="29"/>
      <c r="O136" s="30">
        <f>0+2280000+18531244</f>
        <v>20811244</v>
      </c>
      <c r="P136" s="33"/>
      <c r="Q136" s="30">
        <f>22391680+30811880+130000000</f>
        <v>183203560</v>
      </c>
      <c r="R136" s="32"/>
      <c r="S136" s="34"/>
      <c r="T136" s="33"/>
      <c r="U136" s="30"/>
      <c r="V136" s="36">
        <f t="shared" si="18"/>
        <v>0</v>
      </c>
      <c r="W136" s="34">
        <f t="shared" si="18"/>
        <v>204014804</v>
      </c>
      <c r="X136" s="36">
        <f>H136+V136</f>
        <v>0</v>
      </c>
      <c r="Y136" s="34">
        <f>J136+W136</f>
        <v>204014804</v>
      </c>
      <c r="Z136" s="36">
        <f t="shared" si="28"/>
        <v>0</v>
      </c>
      <c r="AA136" s="36">
        <f t="shared" si="29"/>
        <v>20.116728232568367</v>
      </c>
      <c r="AB136" s="42"/>
      <c r="AC136" s="229"/>
    </row>
    <row r="137" spans="1:29" s="56" customFormat="1" ht="172.5" customHeight="1" x14ac:dyDescent="0.4">
      <c r="A137" s="47"/>
      <c r="B137" s="66"/>
      <c r="C137" s="48" t="s">
        <v>189</v>
      </c>
      <c r="D137" s="48" t="s">
        <v>190</v>
      </c>
      <c r="E137" s="52">
        <v>100</v>
      </c>
      <c r="F137" s="52" t="s">
        <v>20</v>
      </c>
      <c r="G137" s="51">
        <v>8669179200</v>
      </c>
      <c r="H137" s="52">
        <v>100</v>
      </c>
      <c r="I137" s="52" t="s">
        <v>20</v>
      </c>
      <c r="J137" s="84">
        <v>4196852448</v>
      </c>
      <c r="K137" s="52">
        <v>100</v>
      </c>
      <c r="L137" s="52" t="s">
        <v>20</v>
      </c>
      <c r="M137" s="51">
        <f>SUM(M138:M141)</f>
        <v>1081969800</v>
      </c>
      <c r="N137" s="52"/>
      <c r="O137" s="51">
        <f>O138+O139+O140+O141</f>
        <v>523165000</v>
      </c>
      <c r="P137" s="51"/>
      <c r="Q137" s="51">
        <f>Q138+Q139+Q140+Q141</f>
        <v>99764000</v>
      </c>
      <c r="R137" s="52"/>
      <c r="S137" s="51"/>
      <c r="T137" s="52"/>
      <c r="U137" s="51"/>
      <c r="V137" s="49">
        <f>N137+P137+R137+T137</f>
        <v>0</v>
      </c>
      <c r="W137" s="51">
        <f t="shared" si="18"/>
        <v>622929000</v>
      </c>
      <c r="X137" s="52">
        <f>H137+V137</f>
        <v>100</v>
      </c>
      <c r="Y137" s="51">
        <f>J137+W137</f>
        <v>4819781448</v>
      </c>
      <c r="Z137" s="54">
        <f>(X137/E137)*100</f>
        <v>100</v>
      </c>
      <c r="AA137" s="49">
        <f>(Y137/G137)*100</f>
        <v>55.596744937513812</v>
      </c>
      <c r="AB137" s="55"/>
      <c r="AC137" s="218"/>
    </row>
    <row r="138" spans="1:29" s="38" customFormat="1" ht="120.75" customHeight="1" x14ac:dyDescent="0.4">
      <c r="A138" s="23"/>
      <c r="B138" s="69"/>
      <c r="C138" s="197" t="s">
        <v>266</v>
      </c>
      <c r="D138" s="25" t="s">
        <v>267</v>
      </c>
      <c r="E138" s="29">
        <v>10</v>
      </c>
      <c r="F138" s="29" t="s">
        <v>110</v>
      </c>
      <c r="G138" s="30">
        <v>55673200</v>
      </c>
      <c r="H138" s="29"/>
      <c r="I138" s="29"/>
      <c r="J138" s="74"/>
      <c r="K138" s="29">
        <v>10</v>
      </c>
      <c r="L138" s="29" t="s">
        <v>110</v>
      </c>
      <c r="M138" s="30">
        <v>118240000</v>
      </c>
      <c r="N138" s="29"/>
      <c r="O138" s="30">
        <f>0+0+0</f>
        <v>0</v>
      </c>
      <c r="P138" s="33"/>
      <c r="Q138" s="30">
        <v>0</v>
      </c>
      <c r="R138" s="59"/>
      <c r="S138" s="34"/>
      <c r="T138" s="33"/>
      <c r="U138" s="30"/>
      <c r="V138" s="36">
        <f t="shared" si="18"/>
        <v>0</v>
      </c>
      <c r="W138" s="34">
        <f t="shared" si="18"/>
        <v>0</v>
      </c>
      <c r="X138" s="36">
        <f>H138+V138</f>
        <v>0</v>
      </c>
      <c r="Y138" s="34">
        <f t="shared" ref="Y138:Y150" si="32">J138+W138</f>
        <v>0</v>
      </c>
      <c r="Z138" s="36">
        <f t="shared" ref="Z138:Z150" si="33">(X138/E138)*100</f>
        <v>0</v>
      </c>
      <c r="AA138" s="36">
        <f t="shared" ref="AA138:AA150" si="34">(Y138/G138)*100</f>
        <v>0</v>
      </c>
      <c r="AB138" s="42"/>
      <c r="AC138" s="229"/>
    </row>
    <row r="139" spans="1:29" s="38" customFormat="1" ht="120.75" customHeight="1" x14ac:dyDescent="0.4">
      <c r="A139" s="23"/>
      <c r="B139" s="69"/>
      <c r="C139" s="197" t="s">
        <v>289</v>
      </c>
      <c r="D139" s="25" t="s">
        <v>268</v>
      </c>
      <c r="E139" s="29">
        <v>1</v>
      </c>
      <c r="F139" s="29" t="s">
        <v>110</v>
      </c>
      <c r="G139" s="30">
        <v>110000000</v>
      </c>
      <c r="H139" s="29"/>
      <c r="I139" s="29"/>
      <c r="J139" s="74"/>
      <c r="K139" s="29">
        <v>1</v>
      </c>
      <c r="L139" s="29" t="s">
        <v>110</v>
      </c>
      <c r="M139" s="30">
        <v>863565800</v>
      </c>
      <c r="N139" s="29"/>
      <c r="O139" s="30">
        <f>0+0+423401000</f>
        <v>423401000</v>
      </c>
      <c r="P139" s="33"/>
      <c r="Q139" s="30">
        <f>0+0+0</f>
        <v>0</v>
      </c>
      <c r="R139" s="59"/>
      <c r="S139" s="34"/>
      <c r="T139" s="33"/>
      <c r="U139" s="30"/>
      <c r="V139" s="36">
        <f t="shared" si="18"/>
        <v>0</v>
      </c>
      <c r="W139" s="34">
        <f t="shared" si="18"/>
        <v>423401000</v>
      </c>
      <c r="X139" s="36">
        <f t="shared" ref="X139:X144" si="35">H139+V139</f>
        <v>0</v>
      </c>
      <c r="Y139" s="34">
        <f t="shared" si="32"/>
        <v>423401000</v>
      </c>
      <c r="Z139" s="36">
        <f t="shared" si="33"/>
        <v>0</v>
      </c>
      <c r="AA139" s="36">
        <f t="shared" si="34"/>
        <v>384.90999999999997</v>
      </c>
      <c r="AB139" s="42"/>
      <c r="AC139" s="229"/>
    </row>
    <row r="140" spans="1:29" s="38" customFormat="1" ht="120.75" customHeight="1" x14ac:dyDescent="0.4">
      <c r="A140" s="23"/>
      <c r="B140" s="69"/>
      <c r="C140" s="197" t="s">
        <v>191</v>
      </c>
      <c r="D140" s="25" t="s">
        <v>269</v>
      </c>
      <c r="E140" s="29">
        <v>1</v>
      </c>
      <c r="F140" s="29" t="s">
        <v>110</v>
      </c>
      <c r="G140" s="30">
        <v>4920000000</v>
      </c>
      <c r="H140" s="29"/>
      <c r="I140" s="29"/>
      <c r="J140" s="74"/>
      <c r="K140" s="29">
        <v>1</v>
      </c>
      <c r="L140" s="29" t="s">
        <v>110</v>
      </c>
      <c r="M140" s="30">
        <v>99964000</v>
      </c>
      <c r="N140" s="29"/>
      <c r="O140" s="30">
        <f>0+0+99764000</f>
        <v>99764000</v>
      </c>
      <c r="P140" s="33"/>
      <c r="Q140" s="30">
        <f>0+0+99764000</f>
        <v>99764000</v>
      </c>
      <c r="R140" s="59"/>
      <c r="S140" s="34"/>
      <c r="T140" s="33"/>
      <c r="U140" s="30"/>
      <c r="V140" s="36">
        <f t="shared" si="18"/>
        <v>0</v>
      </c>
      <c r="W140" s="34">
        <f t="shared" si="18"/>
        <v>199528000</v>
      </c>
      <c r="X140" s="36">
        <f t="shared" si="35"/>
        <v>0</v>
      </c>
      <c r="Y140" s="34">
        <f t="shared" si="32"/>
        <v>199528000</v>
      </c>
      <c r="Z140" s="36">
        <f t="shared" si="33"/>
        <v>0</v>
      </c>
      <c r="AA140" s="36">
        <f t="shared" si="34"/>
        <v>4.0554471544715449</v>
      </c>
      <c r="AB140" s="42"/>
      <c r="AC140" s="229"/>
    </row>
    <row r="141" spans="1:29" s="38" customFormat="1" ht="120.75" customHeight="1" x14ac:dyDescent="0.4">
      <c r="A141" s="23"/>
      <c r="B141" s="69"/>
      <c r="C141" s="197" t="s">
        <v>270</v>
      </c>
      <c r="D141" s="25" t="s">
        <v>271</v>
      </c>
      <c r="E141" s="29">
        <v>2</v>
      </c>
      <c r="F141" s="29" t="s">
        <v>110</v>
      </c>
      <c r="G141" s="30">
        <v>179200000</v>
      </c>
      <c r="H141" s="29"/>
      <c r="I141" s="29"/>
      <c r="J141" s="74"/>
      <c r="K141" s="29">
        <v>2</v>
      </c>
      <c r="L141" s="29" t="s">
        <v>110</v>
      </c>
      <c r="M141" s="30">
        <v>200000</v>
      </c>
      <c r="N141" s="29"/>
      <c r="O141" s="30">
        <f t="shared" ref="O141" si="36">0+0+0</f>
        <v>0</v>
      </c>
      <c r="P141" s="33"/>
      <c r="Q141" s="30">
        <v>0</v>
      </c>
      <c r="R141" s="59"/>
      <c r="S141" s="34"/>
      <c r="T141" s="33"/>
      <c r="U141" s="30"/>
      <c r="V141" s="36">
        <f t="shared" si="18"/>
        <v>0</v>
      </c>
      <c r="W141" s="34">
        <f t="shared" si="18"/>
        <v>0</v>
      </c>
      <c r="X141" s="36">
        <f t="shared" si="35"/>
        <v>0</v>
      </c>
      <c r="Y141" s="34">
        <f t="shared" si="32"/>
        <v>0</v>
      </c>
      <c r="Z141" s="36">
        <f t="shared" si="33"/>
        <v>0</v>
      </c>
      <c r="AA141" s="36">
        <f t="shared" si="34"/>
        <v>0</v>
      </c>
      <c r="AB141" s="42"/>
      <c r="AC141" s="229"/>
    </row>
    <row r="142" spans="1:29" s="56" customFormat="1" ht="172.5" customHeight="1" x14ac:dyDescent="0.4">
      <c r="A142" s="47"/>
      <c r="B142" s="66"/>
      <c r="C142" s="48" t="s">
        <v>272</v>
      </c>
      <c r="D142" s="48" t="s">
        <v>185</v>
      </c>
      <c r="E142" s="52">
        <v>100</v>
      </c>
      <c r="F142" s="52" t="s">
        <v>20</v>
      </c>
      <c r="G142" s="51">
        <v>2901136200</v>
      </c>
      <c r="H142" s="52"/>
      <c r="I142" s="52"/>
      <c r="J142" s="84"/>
      <c r="K142" s="52">
        <v>100</v>
      </c>
      <c r="L142" s="52" t="s">
        <v>20</v>
      </c>
      <c r="M142" s="51">
        <f>SUM(M143:M144)</f>
        <v>836552300</v>
      </c>
      <c r="N142" s="52"/>
      <c r="O142" s="51">
        <f>O143+O144</f>
        <v>152968022</v>
      </c>
      <c r="P142" s="51"/>
      <c r="Q142" s="51">
        <f>Q143+Q144</f>
        <v>614173628</v>
      </c>
      <c r="R142" s="52"/>
      <c r="S142" s="51"/>
      <c r="T142" s="52"/>
      <c r="U142" s="51"/>
      <c r="V142" s="52">
        <f>N142+P142+R142+T142</f>
        <v>0</v>
      </c>
      <c r="W142" s="51">
        <f t="shared" si="18"/>
        <v>767141650</v>
      </c>
      <c r="X142" s="253">
        <f>H142+V142</f>
        <v>0</v>
      </c>
      <c r="Y142" s="51">
        <f t="shared" si="32"/>
        <v>767141650</v>
      </c>
      <c r="Z142" s="49">
        <f t="shared" si="33"/>
        <v>0</v>
      </c>
      <c r="AA142" s="49">
        <f t="shared" si="34"/>
        <v>26.442800238058457</v>
      </c>
      <c r="AB142" s="55"/>
      <c r="AC142" s="218"/>
    </row>
    <row r="143" spans="1:29" s="38" customFormat="1" ht="138" customHeight="1" x14ac:dyDescent="0.4">
      <c r="A143" s="23"/>
      <c r="B143" s="69"/>
      <c r="C143" s="197" t="s">
        <v>273</v>
      </c>
      <c r="D143" s="25" t="s">
        <v>274</v>
      </c>
      <c r="E143" s="29">
        <v>12</v>
      </c>
      <c r="F143" s="29" t="s">
        <v>181</v>
      </c>
      <c r="G143" s="30">
        <v>744571400</v>
      </c>
      <c r="H143" s="29"/>
      <c r="I143" s="29"/>
      <c r="J143" s="74"/>
      <c r="K143" s="29">
        <v>12</v>
      </c>
      <c r="L143" s="29" t="s">
        <v>181</v>
      </c>
      <c r="M143" s="30">
        <v>521870700</v>
      </c>
      <c r="N143" s="29"/>
      <c r="O143" s="30">
        <f>32145344+24496322+21082141</f>
        <v>77723807</v>
      </c>
      <c r="P143" s="29">
        <v>6</v>
      </c>
      <c r="Q143" s="30">
        <f>46795070+63633090+259055519</f>
        <v>369483679</v>
      </c>
      <c r="R143" s="59"/>
      <c r="S143" s="34"/>
      <c r="T143" s="33"/>
      <c r="U143" s="30"/>
      <c r="V143" s="36">
        <f t="shared" si="18"/>
        <v>6</v>
      </c>
      <c r="W143" s="34">
        <f t="shared" si="18"/>
        <v>447207486</v>
      </c>
      <c r="X143" s="36">
        <f t="shared" si="35"/>
        <v>6</v>
      </c>
      <c r="Y143" s="34">
        <f t="shared" si="32"/>
        <v>447207486</v>
      </c>
      <c r="Z143" s="36">
        <f t="shared" si="33"/>
        <v>50</v>
      </c>
      <c r="AA143" s="36">
        <f t="shared" si="34"/>
        <v>60.062404492033941</v>
      </c>
      <c r="AB143" s="42"/>
      <c r="AC143" s="229"/>
    </row>
    <row r="144" spans="1:29" s="38" customFormat="1" ht="120.75" customHeight="1" x14ac:dyDescent="0.4">
      <c r="A144" s="23"/>
      <c r="B144" s="69"/>
      <c r="C144" s="197" t="s">
        <v>275</v>
      </c>
      <c r="D144" s="25" t="s">
        <v>276</v>
      </c>
      <c r="E144" s="29">
        <v>12</v>
      </c>
      <c r="F144" s="29" t="s">
        <v>181</v>
      </c>
      <c r="G144" s="30">
        <v>1206564800</v>
      </c>
      <c r="H144" s="29"/>
      <c r="I144" s="29"/>
      <c r="J144" s="74"/>
      <c r="K144" s="29">
        <v>12</v>
      </c>
      <c r="L144" s="29" t="s">
        <v>181</v>
      </c>
      <c r="M144" s="30">
        <v>314681600</v>
      </c>
      <c r="N144" s="29"/>
      <c r="O144" s="30">
        <f>25538812+25295292+24410111</f>
        <v>75244215</v>
      </c>
      <c r="P144" s="29">
        <v>6</v>
      </c>
      <c r="Q144" s="30">
        <f>34632283+49590584+160467082</f>
        <v>244689949</v>
      </c>
      <c r="R144" s="59"/>
      <c r="S144" s="34"/>
      <c r="T144" s="33"/>
      <c r="U144" s="30"/>
      <c r="V144" s="36">
        <f t="shared" si="18"/>
        <v>6</v>
      </c>
      <c r="W144" s="34">
        <f t="shared" si="18"/>
        <v>319934164</v>
      </c>
      <c r="X144" s="36">
        <f t="shared" si="35"/>
        <v>6</v>
      </c>
      <c r="Y144" s="34">
        <f t="shared" si="32"/>
        <v>319934164</v>
      </c>
      <c r="Z144" s="36">
        <f t="shared" si="33"/>
        <v>50</v>
      </c>
      <c r="AA144" s="36">
        <f t="shared" si="34"/>
        <v>26.516119482351879</v>
      </c>
      <c r="AB144" s="42"/>
      <c r="AC144" s="229"/>
    </row>
    <row r="145" spans="1:29" s="56" customFormat="1" ht="172.5" customHeight="1" x14ac:dyDescent="0.4">
      <c r="A145" s="47"/>
      <c r="B145" s="66"/>
      <c r="C145" s="48" t="s">
        <v>277</v>
      </c>
      <c r="D145" s="48" t="s">
        <v>278</v>
      </c>
      <c r="E145" s="52">
        <v>100</v>
      </c>
      <c r="F145" s="52" t="s">
        <v>20</v>
      </c>
      <c r="G145" s="51">
        <v>1458415671</v>
      </c>
      <c r="H145" s="52"/>
      <c r="I145" s="52"/>
      <c r="J145" s="84"/>
      <c r="K145" s="52">
        <v>100</v>
      </c>
      <c r="L145" s="52" t="s">
        <v>20</v>
      </c>
      <c r="M145" s="51">
        <f>SUM(M146:M150)</f>
        <v>1376569540</v>
      </c>
      <c r="N145" s="52"/>
      <c r="O145" s="51">
        <f>O146+O147+O148+O149+O150</f>
        <v>508284955</v>
      </c>
      <c r="P145" s="51"/>
      <c r="Q145" s="51">
        <f>Q146+Q147+Q148+Q149+Q150</f>
        <v>221042560</v>
      </c>
      <c r="R145" s="52"/>
      <c r="S145" s="51"/>
      <c r="T145" s="52"/>
      <c r="U145" s="51"/>
      <c r="V145" s="52">
        <f t="shared" ref="V145:W150" si="37">N145+P145+R145+T145</f>
        <v>0</v>
      </c>
      <c r="W145" s="51">
        <f t="shared" si="37"/>
        <v>729327515</v>
      </c>
      <c r="X145" s="84">
        <f>H145+V145</f>
        <v>0</v>
      </c>
      <c r="Y145" s="51">
        <f t="shared" si="32"/>
        <v>729327515</v>
      </c>
      <c r="Z145" s="54">
        <f t="shared" si="33"/>
        <v>0</v>
      </c>
      <c r="AA145" s="49">
        <f t="shared" si="34"/>
        <v>50.008206130966627</v>
      </c>
      <c r="AB145" s="55"/>
      <c r="AC145" s="218"/>
    </row>
    <row r="146" spans="1:29" s="38" customFormat="1" ht="179.25" customHeight="1" x14ac:dyDescent="0.4">
      <c r="A146" s="23"/>
      <c r="B146" s="69"/>
      <c r="C146" s="197" t="s">
        <v>280</v>
      </c>
      <c r="D146" s="25" t="s">
        <v>279</v>
      </c>
      <c r="E146" s="29">
        <v>64</v>
      </c>
      <c r="F146" s="29" t="s">
        <v>110</v>
      </c>
      <c r="G146" s="30">
        <v>517086356</v>
      </c>
      <c r="H146" s="29"/>
      <c r="I146" s="29"/>
      <c r="J146" s="74"/>
      <c r="K146" s="29">
        <v>12</v>
      </c>
      <c r="L146" s="29" t="s">
        <v>110</v>
      </c>
      <c r="M146" s="30">
        <v>110250000</v>
      </c>
      <c r="N146" s="29"/>
      <c r="O146" s="30">
        <f>0+4604930+6030000</f>
        <v>10634930</v>
      </c>
      <c r="P146" s="29">
        <v>6</v>
      </c>
      <c r="Q146" s="30">
        <f>28285070+4223415+52741415</f>
        <v>85249900</v>
      </c>
      <c r="R146" s="59"/>
      <c r="S146" s="34"/>
      <c r="T146" s="33"/>
      <c r="U146" s="30"/>
      <c r="V146" s="36">
        <f t="shared" si="37"/>
        <v>6</v>
      </c>
      <c r="W146" s="34">
        <f t="shared" si="37"/>
        <v>95884830</v>
      </c>
      <c r="X146" s="36">
        <f t="shared" ref="X146:X150" si="38">H146+V146</f>
        <v>6</v>
      </c>
      <c r="Y146" s="34">
        <f t="shared" si="32"/>
        <v>95884830</v>
      </c>
      <c r="Z146" s="35">
        <f t="shared" si="33"/>
        <v>9.375</v>
      </c>
      <c r="AA146" s="36">
        <f t="shared" si="34"/>
        <v>18.543291442019793</v>
      </c>
      <c r="AB146" s="42"/>
      <c r="AC146" s="229"/>
    </row>
    <row r="147" spans="1:29" s="38" customFormat="1" ht="153" customHeight="1" x14ac:dyDescent="0.4">
      <c r="A147" s="23"/>
      <c r="B147" s="69"/>
      <c r="C147" s="197" t="s">
        <v>281</v>
      </c>
      <c r="D147" s="25" t="s">
        <v>282</v>
      </c>
      <c r="E147" s="254"/>
      <c r="F147" s="254"/>
      <c r="G147" s="255"/>
      <c r="H147" s="29"/>
      <c r="I147" s="29"/>
      <c r="J147" s="74">
        <v>0</v>
      </c>
      <c r="K147" s="29">
        <v>12</v>
      </c>
      <c r="L147" s="29" t="s">
        <v>110</v>
      </c>
      <c r="M147" s="30">
        <v>210250000</v>
      </c>
      <c r="N147" s="29"/>
      <c r="O147" s="30">
        <f>0+5470025+9745000</f>
        <v>15215025</v>
      </c>
      <c r="P147" s="29">
        <v>6</v>
      </c>
      <c r="Q147" s="30">
        <f>43544975+2635200+73934485</f>
        <v>120114660</v>
      </c>
      <c r="R147" s="59"/>
      <c r="S147" s="34"/>
      <c r="T147" s="33"/>
      <c r="U147" s="30"/>
      <c r="V147" s="36">
        <f t="shared" si="37"/>
        <v>6</v>
      </c>
      <c r="W147" s="34">
        <f t="shared" si="37"/>
        <v>135329685</v>
      </c>
      <c r="X147" s="36">
        <f>H147+V147</f>
        <v>6</v>
      </c>
      <c r="Y147" s="34">
        <f t="shared" si="32"/>
        <v>135329685</v>
      </c>
      <c r="Z147" s="256" t="e">
        <f>(X147/E147)*100</f>
        <v>#DIV/0!</v>
      </c>
      <c r="AA147" s="257" t="e">
        <f t="shared" si="34"/>
        <v>#DIV/0!</v>
      </c>
      <c r="AB147" s="42"/>
      <c r="AC147" s="229"/>
    </row>
    <row r="148" spans="1:29" s="38" customFormat="1" ht="120.75" customHeight="1" x14ac:dyDescent="0.4">
      <c r="A148" s="23"/>
      <c r="B148" s="69"/>
      <c r="C148" s="197" t="s">
        <v>283</v>
      </c>
      <c r="D148" s="25" t="s">
        <v>284</v>
      </c>
      <c r="E148" s="29">
        <v>56</v>
      </c>
      <c r="F148" s="29" t="s">
        <v>110</v>
      </c>
      <c r="G148" s="30">
        <v>191181627</v>
      </c>
      <c r="H148" s="29"/>
      <c r="I148" s="29"/>
      <c r="J148" s="74"/>
      <c r="K148" s="29">
        <v>56</v>
      </c>
      <c r="L148" s="29" t="s">
        <v>110</v>
      </c>
      <c r="M148" s="30">
        <v>66213200</v>
      </c>
      <c r="N148" s="29"/>
      <c r="O148" s="30">
        <f>0+0+2940000</f>
        <v>2940000</v>
      </c>
      <c r="P148" s="33"/>
      <c r="Q148" s="30">
        <f>3259000+3110000+9309000</f>
        <v>15678000</v>
      </c>
      <c r="R148" s="59"/>
      <c r="S148" s="34"/>
      <c r="T148" s="33"/>
      <c r="U148" s="30"/>
      <c r="V148" s="36">
        <f t="shared" si="37"/>
        <v>0</v>
      </c>
      <c r="W148" s="34">
        <f t="shared" si="37"/>
        <v>18618000</v>
      </c>
      <c r="X148" s="36">
        <f t="shared" si="38"/>
        <v>0</v>
      </c>
      <c r="Y148" s="34">
        <f t="shared" si="32"/>
        <v>18618000</v>
      </c>
      <c r="Z148" s="35">
        <f t="shared" si="33"/>
        <v>0</v>
      </c>
      <c r="AA148" s="36">
        <f t="shared" si="34"/>
        <v>9.7383834901666582</v>
      </c>
      <c r="AB148" s="42"/>
      <c r="AC148" s="229"/>
    </row>
    <row r="149" spans="1:29" s="38" customFormat="1" ht="154.5" customHeight="1" x14ac:dyDescent="0.4">
      <c r="A149" s="23"/>
      <c r="B149" s="69"/>
      <c r="C149" s="197" t="s">
        <v>285</v>
      </c>
      <c r="D149" s="25" t="s">
        <v>286</v>
      </c>
      <c r="E149" s="29">
        <v>3</v>
      </c>
      <c r="F149" s="29" t="s">
        <v>110</v>
      </c>
      <c r="G149" s="30">
        <v>160551530</v>
      </c>
      <c r="H149" s="29"/>
      <c r="I149" s="29"/>
      <c r="J149" s="74"/>
      <c r="K149" s="29">
        <v>3</v>
      </c>
      <c r="L149" s="29" t="s">
        <v>110</v>
      </c>
      <c r="M149" s="30">
        <v>790194400</v>
      </c>
      <c r="N149" s="29"/>
      <c r="O149" s="30">
        <f>0+0+479495000</f>
        <v>479495000</v>
      </c>
      <c r="P149" s="33"/>
      <c r="Q149" s="30">
        <f>0+0+0</f>
        <v>0</v>
      </c>
      <c r="R149" s="59"/>
      <c r="S149" s="34"/>
      <c r="T149" s="33"/>
      <c r="U149" s="30"/>
      <c r="V149" s="36">
        <f t="shared" si="37"/>
        <v>0</v>
      </c>
      <c r="W149" s="34">
        <f t="shared" si="37"/>
        <v>479495000</v>
      </c>
      <c r="X149" s="36">
        <f t="shared" si="38"/>
        <v>0</v>
      </c>
      <c r="Y149" s="34">
        <f t="shared" si="32"/>
        <v>479495000</v>
      </c>
      <c r="Z149" s="35">
        <f t="shared" si="33"/>
        <v>0</v>
      </c>
      <c r="AA149" s="36">
        <f t="shared" si="34"/>
        <v>298.65489291818022</v>
      </c>
      <c r="AB149" s="42"/>
      <c r="AC149" s="229"/>
    </row>
    <row r="150" spans="1:29" s="38" customFormat="1" ht="154.5" customHeight="1" thickBot="1" x14ac:dyDescent="0.45">
      <c r="A150" s="23"/>
      <c r="B150" s="69"/>
      <c r="C150" s="197" t="s">
        <v>287</v>
      </c>
      <c r="D150" s="25" t="s">
        <v>288</v>
      </c>
      <c r="E150" s="29">
        <v>3</v>
      </c>
      <c r="F150" s="29" t="s">
        <v>110</v>
      </c>
      <c r="G150" s="30">
        <v>110508374</v>
      </c>
      <c r="H150" s="29"/>
      <c r="I150" s="29"/>
      <c r="J150" s="74"/>
      <c r="K150" s="29">
        <v>3</v>
      </c>
      <c r="L150" s="29" t="s">
        <v>110</v>
      </c>
      <c r="M150" s="30">
        <v>199661940</v>
      </c>
      <c r="N150" s="29"/>
      <c r="O150" s="30">
        <f>0+0+0</f>
        <v>0</v>
      </c>
      <c r="P150" s="33"/>
      <c r="Q150" s="34">
        <v>0</v>
      </c>
      <c r="R150" s="59"/>
      <c r="S150" s="34"/>
      <c r="T150" s="33"/>
      <c r="U150" s="30"/>
      <c r="V150" s="36">
        <f t="shared" si="37"/>
        <v>0</v>
      </c>
      <c r="W150" s="34">
        <f t="shared" si="37"/>
        <v>0</v>
      </c>
      <c r="X150" s="36">
        <f t="shared" si="38"/>
        <v>0</v>
      </c>
      <c r="Y150" s="34">
        <f t="shared" si="32"/>
        <v>0</v>
      </c>
      <c r="Z150" s="35">
        <f t="shared" si="33"/>
        <v>0</v>
      </c>
      <c r="AA150" s="36">
        <f t="shared" si="34"/>
        <v>0</v>
      </c>
      <c r="AB150" s="42"/>
      <c r="AC150" s="235"/>
    </row>
    <row r="151" spans="1:29" s="2" customFormat="1" ht="39.75" customHeight="1" x14ac:dyDescent="0.4">
      <c r="A151" s="23"/>
      <c r="B151" s="69"/>
      <c r="C151" s="25"/>
      <c r="D151" s="25"/>
      <c r="E151" s="29"/>
      <c r="F151" s="29"/>
      <c r="G151" s="30"/>
      <c r="H151" s="76"/>
      <c r="I151" s="76"/>
      <c r="J151" s="76"/>
      <c r="K151" s="29"/>
      <c r="L151" s="76"/>
      <c r="M151" s="30"/>
      <c r="N151" s="76"/>
      <c r="O151" s="30"/>
      <c r="P151" s="32"/>
      <c r="Q151" s="32"/>
      <c r="R151" s="32"/>
      <c r="S151" s="32"/>
      <c r="T151" s="33"/>
      <c r="U151" s="32"/>
      <c r="V151" s="33"/>
      <c r="W151" s="34"/>
      <c r="X151" s="33"/>
      <c r="Y151" s="34"/>
      <c r="Z151" s="193" t="e">
        <f>(Z146+Z147+Z148+Z149+Z150)/5</f>
        <v>#DIV/0!</v>
      </c>
      <c r="AA151" s="193" t="e">
        <f>(AA146+AA147+AA148+AA149+AA150)/5</f>
        <v>#DIV/0!</v>
      </c>
      <c r="AB151" s="37"/>
      <c r="AC151" s="236"/>
    </row>
    <row r="152" spans="1:29" s="2" customFormat="1" ht="90" customHeight="1" x14ac:dyDescent="0.4">
      <c r="A152" s="268" t="s">
        <v>298</v>
      </c>
      <c r="B152" s="269"/>
      <c r="C152" s="269"/>
      <c r="D152" s="269"/>
      <c r="E152" s="269"/>
      <c r="F152" s="269"/>
      <c r="G152" s="269"/>
      <c r="H152" s="269"/>
      <c r="I152" s="269"/>
      <c r="J152" s="269"/>
      <c r="K152" s="269"/>
      <c r="L152" s="269"/>
      <c r="M152" s="122">
        <f>M10+M19+M25+M33+M44+M52+M59+M74+M92+M110</f>
        <v>18095974405</v>
      </c>
      <c r="N152" s="76"/>
      <c r="O152" s="34">
        <f>O10+O19+O25+O33+O44+O52+O59+O74+O92+O110</f>
        <v>3348167590</v>
      </c>
      <c r="P152" s="34"/>
      <c r="Q152" s="34">
        <f>Q10+Q19+Q25+Q33+Q44+Q52+Q59+Q74+Q92+Q110</f>
        <v>8585758644</v>
      </c>
      <c r="R152" s="32"/>
      <c r="S152" s="34">
        <f>S10+S19+S24+S33+S44+S52+S58+S73+S91+S110</f>
        <v>0</v>
      </c>
      <c r="T152" s="33"/>
      <c r="U152" s="34">
        <f>U10+U19+U24+U33+U44+U52+U58+U73+U91+U110</f>
        <v>0</v>
      </c>
      <c r="V152" s="33"/>
      <c r="W152" s="123">
        <f>W10+W19+W25+W33+W44+W52+W59+W73+W92+W110</f>
        <v>11867183234</v>
      </c>
      <c r="X152" s="33"/>
      <c r="Y152" s="123">
        <f>Y9+Y19+Y25+Y33+Y44+Y52+Y59+Y73+Y92+Y110</f>
        <v>11539307434</v>
      </c>
      <c r="Z152" s="124"/>
      <c r="AA152" s="125"/>
      <c r="AB152" s="126"/>
      <c r="AC152" s="236"/>
    </row>
    <row r="153" spans="1:29" s="2" customFormat="1" ht="121.5" customHeight="1" x14ac:dyDescent="0.4">
      <c r="A153" s="268" t="s">
        <v>195</v>
      </c>
      <c r="B153" s="269"/>
      <c r="C153" s="269"/>
      <c r="D153" s="269"/>
      <c r="E153" s="269"/>
      <c r="F153" s="269"/>
      <c r="G153" s="269"/>
      <c r="H153" s="269"/>
      <c r="I153" s="269"/>
      <c r="J153" s="269"/>
      <c r="K153" s="269"/>
      <c r="L153" s="269"/>
      <c r="M153" s="270"/>
      <c r="N153" s="270"/>
      <c r="O153" s="270"/>
      <c r="P153" s="270"/>
      <c r="Q153" s="270"/>
      <c r="R153" s="270"/>
      <c r="S153" s="270"/>
      <c r="T153" s="270"/>
      <c r="U153" s="270"/>
      <c r="V153" s="270"/>
      <c r="W153" s="270"/>
      <c r="X153" s="270"/>
      <c r="Y153" s="270"/>
      <c r="Z153" s="60" t="e">
        <f>(Z17+Z23+Z31+Z42+Z50+Z57+Z72+Z83+Z108+Z151)/10</f>
        <v>#DIV/0!</v>
      </c>
      <c r="AA153" s="60" t="e">
        <f>(AA17+AA23+AA31+AA42+AA50+AA57+AA72+AA83+AA108+AA151)/10</f>
        <v>#DIV/0!</v>
      </c>
      <c r="AB153" s="126"/>
      <c r="AC153" s="236"/>
    </row>
    <row r="154" spans="1:29" s="2" customFormat="1" ht="96.75" customHeight="1" x14ac:dyDescent="0.4">
      <c r="A154" s="268" t="s">
        <v>196</v>
      </c>
      <c r="B154" s="269"/>
      <c r="C154" s="269"/>
      <c r="D154" s="269"/>
      <c r="E154" s="269"/>
      <c r="F154" s="269"/>
      <c r="G154" s="269"/>
      <c r="H154" s="269"/>
      <c r="I154" s="269"/>
      <c r="J154" s="269"/>
      <c r="K154" s="269"/>
      <c r="L154" s="269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270"/>
      <c r="Y154" s="270"/>
      <c r="Z154" s="127"/>
      <c r="AA154" s="127"/>
      <c r="AB154" s="126"/>
      <c r="AC154" s="236"/>
    </row>
    <row r="155" spans="1:29" ht="27" thickBot="1" x14ac:dyDescent="0.4">
      <c r="A155" s="128"/>
      <c r="B155" s="129"/>
      <c r="C155" s="129"/>
      <c r="D155" s="129"/>
      <c r="E155" s="129"/>
      <c r="F155" s="130"/>
      <c r="G155" s="129"/>
      <c r="H155" s="129"/>
      <c r="I155" s="129"/>
      <c r="J155" s="129"/>
      <c r="K155" s="129"/>
      <c r="L155" s="131"/>
      <c r="M155" s="129"/>
      <c r="N155" s="129"/>
      <c r="O155" s="132"/>
      <c r="P155" s="129"/>
      <c r="Q155" s="133"/>
      <c r="R155" s="129"/>
      <c r="S155" s="129"/>
      <c r="T155" s="134"/>
      <c r="U155" s="129"/>
      <c r="V155" s="134"/>
      <c r="W155" s="129"/>
      <c r="X155" s="222"/>
      <c r="Y155" s="129"/>
      <c r="Z155" s="129"/>
      <c r="AA155" s="129"/>
      <c r="AB155" s="135"/>
    </row>
    <row r="156" spans="1:29" ht="26.25" x14ac:dyDescent="0.35">
      <c r="H156" s="1"/>
      <c r="I156" s="1"/>
      <c r="J156" s="1"/>
      <c r="L156" s="136"/>
      <c r="N156" s="1"/>
      <c r="O156" s="137"/>
      <c r="P156" s="1"/>
      <c r="Q156" s="138"/>
      <c r="R156" s="1"/>
      <c r="S156" s="1"/>
      <c r="T156" s="5"/>
      <c r="U156" s="1"/>
      <c r="V156" s="5"/>
      <c r="W156" s="1"/>
      <c r="X156" s="223"/>
    </row>
    <row r="157" spans="1:29" ht="44.25" customHeight="1" x14ac:dyDescent="0.4">
      <c r="E157" s="139"/>
      <c r="F157" s="140"/>
      <c r="G157" s="141" t="s">
        <v>197</v>
      </c>
      <c r="H157" s="271" t="s">
        <v>198</v>
      </c>
      <c r="I157" s="271"/>
      <c r="J157" s="271"/>
      <c r="K157" s="271"/>
      <c r="L157" s="271"/>
      <c r="M157" s="271"/>
      <c r="N157" s="1"/>
      <c r="O157" s="137"/>
      <c r="P157" s="1"/>
      <c r="Q157" s="138"/>
      <c r="R157" s="1"/>
      <c r="S157" s="1"/>
      <c r="T157" s="5"/>
      <c r="U157" s="1"/>
      <c r="V157" s="5"/>
      <c r="W157" s="142" t="s">
        <v>199</v>
      </c>
      <c r="X157" s="223"/>
    </row>
    <row r="158" spans="1:29" ht="44.25" customHeight="1" x14ac:dyDescent="0.4">
      <c r="E158" s="143"/>
      <c r="F158" s="144"/>
      <c r="G158" s="141" t="s">
        <v>197</v>
      </c>
      <c r="H158" s="271" t="s">
        <v>200</v>
      </c>
      <c r="I158" s="271"/>
      <c r="J158" s="271"/>
      <c r="K158" s="271"/>
      <c r="L158" s="271"/>
      <c r="M158" s="271"/>
      <c r="N158" s="1"/>
      <c r="O158" s="137"/>
      <c r="P158" s="1"/>
      <c r="Q158" s="138"/>
      <c r="R158" s="1"/>
      <c r="S158" s="1"/>
      <c r="T158" s="5"/>
      <c r="U158" s="1"/>
      <c r="V158" s="5"/>
      <c r="W158" s="142" t="s">
        <v>300</v>
      </c>
      <c r="X158" s="223"/>
    </row>
    <row r="159" spans="1:29" ht="44.25" customHeight="1" x14ac:dyDescent="0.35">
      <c r="E159" s="145"/>
      <c r="F159" s="146"/>
      <c r="G159" s="141" t="s">
        <v>197</v>
      </c>
      <c r="H159" s="264" t="s">
        <v>201</v>
      </c>
      <c r="I159" s="264"/>
      <c r="J159" s="264"/>
      <c r="K159" s="264"/>
      <c r="L159" s="264"/>
      <c r="M159" s="264"/>
      <c r="N159" s="1"/>
      <c r="O159" s="137"/>
      <c r="P159" s="1"/>
      <c r="Q159" s="138"/>
      <c r="R159" s="1"/>
      <c r="S159" s="1"/>
      <c r="T159" s="5"/>
      <c r="U159" s="1"/>
      <c r="V159" s="5"/>
      <c r="W159" s="265" t="s">
        <v>202</v>
      </c>
      <c r="X159" s="265"/>
      <c r="Y159" s="265"/>
      <c r="Z159" s="265"/>
    </row>
    <row r="160" spans="1:29" ht="18" customHeight="1" x14ac:dyDescent="0.35">
      <c r="G160" s="147"/>
      <c r="H160" s="148"/>
      <c r="I160" s="148"/>
      <c r="J160" s="148"/>
      <c r="K160" s="148"/>
      <c r="L160" s="149"/>
      <c r="M160" s="3"/>
      <c r="N160" s="1"/>
      <c r="O160" s="137"/>
      <c r="P160" s="1"/>
      <c r="Q160" s="138"/>
      <c r="R160" s="1"/>
      <c r="S160" s="1"/>
      <c r="T160" s="5"/>
      <c r="U160" s="1"/>
      <c r="V160" s="5"/>
      <c r="W160" s="265"/>
      <c r="X160" s="265"/>
      <c r="Y160" s="265"/>
      <c r="Z160" s="265"/>
    </row>
    <row r="161" spans="8:26" ht="44.25" customHeight="1" x14ac:dyDescent="0.35">
      <c r="H161" s="1"/>
      <c r="I161" s="1"/>
      <c r="J161" s="1"/>
      <c r="L161" s="136"/>
      <c r="N161" s="1"/>
      <c r="O161" s="137"/>
      <c r="P161" s="1"/>
      <c r="Q161" s="138"/>
      <c r="R161" s="1"/>
      <c r="S161" s="1"/>
      <c r="T161" s="5"/>
      <c r="U161" s="1"/>
      <c r="V161" s="5"/>
      <c r="W161" s="1"/>
      <c r="X161" s="223"/>
    </row>
    <row r="162" spans="8:26" ht="27" customHeight="1" x14ac:dyDescent="0.35">
      <c r="H162" s="1"/>
      <c r="I162" s="1"/>
      <c r="J162" s="1"/>
      <c r="L162" s="136"/>
      <c r="N162" s="1"/>
      <c r="O162" s="137"/>
      <c r="P162" s="1"/>
      <c r="Q162" s="138"/>
      <c r="R162" s="1"/>
      <c r="S162" s="1"/>
      <c r="T162" s="5"/>
      <c r="U162" s="1"/>
      <c r="V162" s="5"/>
      <c r="W162" s="1"/>
      <c r="X162" s="223"/>
    </row>
    <row r="163" spans="8:26" ht="44.25" customHeight="1" x14ac:dyDescent="0.35">
      <c r="H163" s="150"/>
      <c r="I163" s="1"/>
      <c r="J163" s="1"/>
      <c r="L163" s="136"/>
      <c r="N163" s="1"/>
      <c r="O163" s="137"/>
      <c r="P163" s="1"/>
      <c r="Q163" s="138"/>
      <c r="R163" s="1"/>
      <c r="S163" s="1"/>
      <c r="T163" s="5"/>
      <c r="U163" s="1"/>
      <c r="V163" s="5"/>
      <c r="W163" s="1"/>
      <c r="X163" s="223"/>
    </row>
    <row r="164" spans="8:26" ht="36.75" customHeight="1" x14ac:dyDescent="0.4">
      <c r="H164" s="151"/>
      <c r="I164" s="151"/>
      <c r="J164" s="151"/>
      <c r="K164" s="151"/>
      <c r="L164" s="136"/>
      <c r="N164" s="1"/>
      <c r="O164" s="137"/>
      <c r="P164" s="1"/>
      <c r="Q164" s="1"/>
      <c r="R164" s="1"/>
      <c r="S164" s="1"/>
      <c r="T164" s="5"/>
      <c r="U164" s="1"/>
      <c r="V164" s="5"/>
      <c r="W164" s="266" t="s">
        <v>203</v>
      </c>
      <c r="X164" s="266"/>
      <c r="Y164" s="266"/>
      <c r="Z164" s="266"/>
    </row>
    <row r="165" spans="8:26" ht="44.25" customHeight="1" x14ac:dyDescent="0.35">
      <c r="H165" s="152"/>
      <c r="I165" s="152"/>
      <c r="J165" s="152"/>
      <c r="K165" s="152"/>
      <c r="L165" s="136"/>
      <c r="N165" s="1"/>
      <c r="O165" s="137"/>
      <c r="P165" s="1"/>
      <c r="Q165" s="1"/>
      <c r="R165" s="1"/>
      <c r="S165" s="1"/>
      <c r="T165" s="5"/>
      <c r="U165" s="1"/>
      <c r="V165" s="5"/>
      <c r="W165" s="267" t="s">
        <v>204</v>
      </c>
      <c r="X165" s="267"/>
      <c r="Y165" s="267"/>
      <c r="Z165" s="267"/>
    </row>
  </sheetData>
  <mergeCells count="51">
    <mergeCell ref="W165:Z165"/>
    <mergeCell ref="B9:B10"/>
    <mergeCell ref="C9:C10"/>
    <mergeCell ref="A152:L152"/>
    <mergeCell ref="A153:L153"/>
    <mergeCell ref="M153:Y154"/>
    <mergeCell ref="A154:L154"/>
    <mergeCell ref="H157:M157"/>
    <mergeCell ref="H158:M158"/>
    <mergeCell ref="H159:M159"/>
    <mergeCell ref="W159:Z160"/>
    <mergeCell ref="W164:Z164"/>
    <mergeCell ref="X7:Y7"/>
    <mergeCell ref="Z7:AA7"/>
    <mergeCell ref="AB7:AB8"/>
    <mergeCell ref="AC7:AC8"/>
    <mergeCell ref="E8:F8"/>
    <mergeCell ref="H8:I8"/>
    <mergeCell ref="K8:L8"/>
    <mergeCell ref="K7:M7"/>
    <mergeCell ref="N7:O7"/>
    <mergeCell ref="P7:Q7"/>
    <mergeCell ref="R7:S7"/>
    <mergeCell ref="T7:U7"/>
    <mergeCell ref="V7:W7"/>
    <mergeCell ref="H7:J7"/>
    <mergeCell ref="A7:A8"/>
    <mergeCell ref="B7:B8"/>
    <mergeCell ref="C7:C8"/>
    <mergeCell ref="D7:D8"/>
    <mergeCell ref="E7:G7"/>
    <mergeCell ref="AC5:AC6"/>
    <mergeCell ref="N6:O6"/>
    <mergeCell ref="P6:Q6"/>
    <mergeCell ref="R6:S6"/>
    <mergeCell ref="T6:U6"/>
    <mergeCell ref="N5:U5"/>
    <mergeCell ref="V5:W6"/>
    <mergeCell ref="X5:Y6"/>
    <mergeCell ref="Z5:AA6"/>
    <mergeCell ref="AB5:AB6"/>
    <mergeCell ref="A1:AB1"/>
    <mergeCell ref="A2:AB2"/>
    <mergeCell ref="A3:AB3"/>
    <mergeCell ref="A5:A6"/>
    <mergeCell ref="B5:B6"/>
    <mergeCell ref="C5:C6"/>
    <mergeCell ref="D5:D6"/>
    <mergeCell ref="E5:G6"/>
    <mergeCell ref="H5:J6"/>
    <mergeCell ref="K5:M6"/>
  </mergeCells>
  <printOptions horizontalCentered="1"/>
  <pageMargins left="0.23622047244094491" right="0.23622047244094491" top="0.55118110236220474" bottom="0.55118110236220474" header="0.31496062992125984" footer="0.31496062992125984"/>
  <pageSetup paperSize="9" scale="16" fitToHeight="0" orientation="landscape" horizontalDpi="4294967293" r:id="rId1"/>
  <rowBreaks count="9" manualBreakCount="9">
    <brk id="20" max="27" man="1"/>
    <brk id="33" max="27" man="1"/>
    <brk id="52" max="27" man="1"/>
    <brk id="72" max="27" man="1"/>
    <brk id="90" max="16383" man="1"/>
    <brk id="99" max="27" man="1"/>
    <brk id="113" max="27" man="1"/>
    <brk id="130" max="27" man="1"/>
    <brk id="143" max="2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e.81 TW I 2024 </vt:lpstr>
      <vt:lpstr>Sheet1</vt:lpstr>
      <vt:lpstr>e.81 TW II 2024.ok</vt:lpstr>
      <vt:lpstr>'e.81 TW I 2024 '!Print_Area</vt:lpstr>
      <vt:lpstr>'e.81 TW II 2024.ok'!Print_Area</vt:lpstr>
      <vt:lpstr>'e.81 TW I 2024 '!Print_Titles</vt:lpstr>
      <vt:lpstr>'e.81 TW II 2024.ok'!Print_Titles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Muhammad Teo Saputra</cp:lastModifiedBy>
  <cp:lastPrinted>2024-07-12T14:19:11Z</cp:lastPrinted>
  <dcterms:created xsi:type="dcterms:W3CDTF">2023-04-26T03:22:40Z</dcterms:created>
  <dcterms:modified xsi:type="dcterms:W3CDTF">2024-07-12T14:34:52Z</dcterms:modified>
</cp:coreProperties>
</file>