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1. Vistula University Subject\Semester 4\Energy Project Analyst\"/>
    </mc:Choice>
  </mc:AlternateContent>
  <xr:revisionPtr revIDLastSave="0" documentId="13_ncr:1_{AA9C09E5-88BB-4AB2-9115-91DD9B4F5D62}" xr6:coauthVersionLast="47" xr6:coauthVersionMax="47" xr10:uidLastSave="{00000000-0000-0000-0000-000000000000}"/>
  <bookViews>
    <workbookView xWindow="-120" yWindow="-16320" windowWidth="29040" windowHeight="15840" xr2:uid="{9F62C0B1-2B82-4A16-9AC3-8333A00DFFA2}"/>
  </bookViews>
  <sheets>
    <sheet name="Base" sheetId="1" r:id="rId1"/>
    <sheet name="Cost" sheetId="2" r:id="rId2"/>
    <sheet name="O&amp;M" sheetId="3" r:id="rId3"/>
    <sheet name="Cap Fact" sheetId="5" r:id="rId4"/>
    <sheet name="Discount" sheetId="6" r:id="rId5"/>
    <sheet name="Escal R" sheetId="7" r:id="rId6"/>
    <sheet name="Lifetime" sheetId="8" r:id="rId7"/>
    <sheet name="Sensiv" sheetId="9" r:id="rId8"/>
    <sheet name="CFs" sheetId="10" r:id="rId9"/>
    <sheet name="IRR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/>
  <c r="B28" i="1"/>
  <c r="L19" i="11" l="1"/>
  <c r="E13" i="10"/>
  <c r="B6" i="5" l="1"/>
  <c r="B4" i="3"/>
  <c r="B4" i="2"/>
  <c r="B3" i="2"/>
  <c r="B6" i="2"/>
  <c r="B8" i="2"/>
  <c r="D16" i="1"/>
  <c r="D15" i="1"/>
  <c r="I12" i="11"/>
  <c r="C15" i="1"/>
  <c r="G12" i="11"/>
  <c r="B12" i="11"/>
  <c r="E13" i="11"/>
  <c r="E12" i="11"/>
  <c r="I12" i="10"/>
  <c r="H12" i="10"/>
  <c r="G12" i="10"/>
  <c r="C13" i="10"/>
  <c r="C12" i="10"/>
  <c r="D12" i="10"/>
  <c r="F12" i="10"/>
  <c r="C14" i="10"/>
  <c r="C3" i="10"/>
  <c r="B3" i="5"/>
  <c r="B13" i="2"/>
  <c r="B5" i="2"/>
  <c r="E15" i="1"/>
  <c r="E26" i="1"/>
  <c r="C17" i="1"/>
  <c r="C16" i="1"/>
  <c r="B15" i="1"/>
  <c r="C24" i="1"/>
  <c r="A13" i="11" l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E14" i="1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C8" i="11"/>
  <c r="C6" i="11"/>
  <c r="C5" i="11"/>
  <c r="D26" i="11" s="1"/>
  <c r="C4" i="11"/>
  <c r="C12" i="11" s="1"/>
  <c r="C13" i="11" s="1"/>
  <c r="C3" i="11"/>
  <c r="B12" i="10"/>
  <c r="E16" i="1"/>
  <c r="E17" i="1"/>
  <c r="E18" i="1"/>
  <c r="E19" i="1"/>
  <c r="E20" i="1"/>
  <c r="E21" i="1"/>
  <c r="E22" i="1"/>
  <c r="E23" i="1"/>
  <c r="E24" i="1"/>
  <c r="C14" i="11" l="1"/>
  <c r="F26" i="11"/>
  <c r="D12" i="11"/>
  <c r="F12" i="11" s="1"/>
  <c r="D13" i="11"/>
  <c r="F13" i="11" s="1"/>
  <c r="G13" i="11" s="1"/>
  <c r="H13" i="11" s="1"/>
  <c r="D14" i="11"/>
  <c r="F14" i="11" s="1"/>
  <c r="D15" i="11"/>
  <c r="F15" i="11" s="1"/>
  <c r="D16" i="11"/>
  <c r="F16" i="11" s="1"/>
  <c r="D17" i="11"/>
  <c r="F17" i="11" s="1"/>
  <c r="D18" i="11"/>
  <c r="F18" i="11" s="1"/>
  <c r="D19" i="11"/>
  <c r="F19" i="11" s="1"/>
  <c r="D20" i="11"/>
  <c r="F20" i="11" s="1"/>
  <c r="D21" i="11"/>
  <c r="F21" i="11" s="1"/>
  <c r="D22" i="11"/>
  <c r="F22" i="11" s="1"/>
  <c r="D23" i="11"/>
  <c r="F23" i="11" s="1"/>
  <c r="D24" i="11"/>
  <c r="F24" i="11" s="1"/>
  <c r="D25" i="11"/>
  <c r="F25" i="11" s="1"/>
  <c r="C7" i="10"/>
  <c r="H12" i="11" l="1"/>
  <c r="I13" i="11" s="1"/>
  <c r="G14" i="11"/>
  <c r="H14" i="11" s="1"/>
  <c r="C15" i="11"/>
  <c r="E12" i="10"/>
  <c r="C4" i="10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5" i="10"/>
  <c r="D13" i="10" s="1"/>
  <c r="C6" i="10"/>
  <c r="C8" i="10"/>
  <c r="I14" i="11" l="1"/>
  <c r="C16" i="11"/>
  <c r="G15" i="11"/>
  <c r="H15" i="11" s="1"/>
  <c r="D19" i="10"/>
  <c r="D18" i="10"/>
  <c r="D26" i="10"/>
  <c r="D20" i="10"/>
  <c r="E14" i="10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D25" i="10"/>
  <c r="D17" i="10"/>
  <c r="D24" i="10"/>
  <c r="D23" i="10"/>
  <c r="D15" i="10"/>
  <c r="D16" i="10"/>
  <c r="D22" i="10"/>
  <c r="D14" i="10"/>
  <c r="D21" i="10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G16" i="11" l="1"/>
  <c r="H16" i="11" s="1"/>
  <c r="C17" i="11"/>
  <c r="I15" i="11"/>
  <c r="F23" i="10"/>
  <c r="G23" i="10" s="1"/>
  <c r="H23" i="10" s="1"/>
  <c r="F18" i="10"/>
  <c r="G18" i="10" s="1"/>
  <c r="H18" i="10" s="1"/>
  <c r="F19" i="10"/>
  <c r="G19" i="10" s="1"/>
  <c r="H19" i="10" s="1"/>
  <c r="F17" i="10"/>
  <c r="G17" i="10" s="1"/>
  <c r="H17" i="10" s="1"/>
  <c r="F21" i="10"/>
  <c r="G21" i="10" s="1"/>
  <c r="H21" i="10" s="1"/>
  <c r="F25" i="10"/>
  <c r="G25" i="10" s="1"/>
  <c r="H25" i="10" s="1"/>
  <c r="F14" i="10"/>
  <c r="F22" i="10"/>
  <c r="G22" i="10" s="1"/>
  <c r="H22" i="10" s="1"/>
  <c r="F24" i="10"/>
  <c r="G24" i="10" s="1"/>
  <c r="H24" i="10" s="1"/>
  <c r="F13" i="10"/>
  <c r="G13" i="10" s="1"/>
  <c r="H13" i="10" s="1"/>
  <c r="F16" i="10"/>
  <c r="G16" i="10" s="1"/>
  <c r="H16" i="10" s="1"/>
  <c r="F20" i="10"/>
  <c r="G20" i="10" s="1"/>
  <c r="H20" i="10" s="1"/>
  <c r="F15" i="10"/>
  <c r="G15" i="10" s="1"/>
  <c r="H15" i="10" s="1"/>
  <c r="F26" i="10"/>
  <c r="G26" i="10" s="1"/>
  <c r="H26" i="10" s="1"/>
  <c r="B4" i="8"/>
  <c r="B5" i="8"/>
  <c r="B6" i="8"/>
  <c r="B7" i="8"/>
  <c r="B8" i="8"/>
  <c r="B9" i="8"/>
  <c r="B10" i="8"/>
  <c r="B3" i="8"/>
  <c r="B4" i="7"/>
  <c r="B5" i="7"/>
  <c r="B6" i="7"/>
  <c r="B7" i="7"/>
  <c r="B3" i="7"/>
  <c r="B4" i="6"/>
  <c r="B5" i="6"/>
  <c r="B6" i="6"/>
  <c r="B7" i="6"/>
  <c r="B8" i="6"/>
  <c r="B9" i="6"/>
  <c r="B10" i="6"/>
  <c r="B3" i="6"/>
  <c r="B4" i="5"/>
  <c r="B5" i="5"/>
  <c r="B7" i="5"/>
  <c r="B8" i="5"/>
  <c r="B9" i="5"/>
  <c r="B5" i="3"/>
  <c r="B6" i="3"/>
  <c r="B7" i="3"/>
  <c r="B8" i="3"/>
  <c r="B9" i="3"/>
  <c r="B10" i="3"/>
  <c r="B7" i="2"/>
  <c r="B9" i="2"/>
  <c r="B10" i="2"/>
  <c r="B11" i="2"/>
  <c r="B12" i="2"/>
  <c r="I13" i="10" l="1"/>
  <c r="G14" i="10"/>
  <c r="H14" i="10" s="1"/>
  <c r="I7" i="10" s="1"/>
  <c r="I16" i="11"/>
  <c r="C18" i="11"/>
  <c r="G17" i="11"/>
  <c r="H17" i="11" s="1"/>
  <c r="A10" i="2"/>
  <c r="A11" i="2" s="1"/>
  <c r="A12" i="2" s="1"/>
  <c r="A13" i="2" s="1"/>
  <c r="A5" i="2"/>
  <c r="A6" i="2" s="1"/>
  <c r="A7" i="2" s="1"/>
  <c r="A8" i="2" s="1"/>
  <c r="A9" i="2" s="1"/>
  <c r="A4" i="2"/>
  <c r="A16" i="1"/>
  <c r="A17" i="1" s="1"/>
  <c r="A18" i="1" s="1"/>
  <c r="A19" i="1" s="1"/>
  <c r="A20" i="1" s="1"/>
  <c r="A21" i="1" s="1"/>
  <c r="A22" i="1" s="1"/>
  <c r="A23" i="1" s="1"/>
  <c r="I14" i="10" l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17" i="11"/>
  <c r="G18" i="11"/>
  <c r="H18" i="11" s="1"/>
  <c r="C19" i="11"/>
  <c r="A24" i="1"/>
  <c r="B26" i="1"/>
  <c r="I18" i="11" l="1"/>
  <c r="C20" i="11"/>
  <c r="G19" i="11"/>
  <c r="H19" i="11" s="1"/>
  <c r="I19" i="11" l="1"/>
  <c r="G20" i="11"/>
  <c r="H20" i="11" s="1"/>
  <c r="C21" i="11"/>
  <c r="C18" i="1"/>
  <c r="D17" i="1"/>
  <c r="I20" i="11" l="1"/>
  <c r="C22" i="11"/>
  <c r="G21" i="11"/>
  <c r="H21" i="11" s="1"/>
  <c r="C19" i="1"/>
  <c r="D18" i="1"/>
  <c r="I21" i="11" l="1"/>
  <c r="G22" i="11"/>
  <c r="H22" i="11" s="1"/>
  <c r="I22" i="11" s="1"/>
  <c r="C23" i="11"/>
  <c r="C20" i="1"/>
  <c r="D19" i="1"/>
  <c r="G23" i="11" l="1"/>
  <c r="H23" i="11" s="1"/>
  <c r="I23" i="11" s="1"/>
  <c r="C24" i="11"/>
  <c r="C21" i="1"/>
  <c r="D20" i="1"/>
  <c r="G24" i="11" l="1"/>
  <c r="H24" i="11" s="1"/>
  <c r="I24" i="11" s="1"/>
  <c r="C25" i="11"/>
  <c r="C22" i="1"/>
  <c r="C23" i="1" s="1"/>
  <c r="D21" i="1"/>
  <c r="C26" i="11" l="1"/>
  <c r="G26" i="11" s="1"/>
  <c r="H26" i="11" s="1"/>
  <c r="G25" i="11"/>
  <c r="H25" i="11" s="1"/>
  <c r="I25" i="11" s="1"/>
  <c r="I26" i="11" s="1"/>
  <c r="D24" i="1"/>
  <c r="D23" i="1"/>
  <c r="D22" i="1"/>
  <c r="D26" i="1" l="1"/>
  <c r="C26" i="1"/>
</calcChain>
</file>

<file path=xl/sharedStrings.xml><?xml version="1.0" encoding="utf-8"?>
<sst xmlns="http://schemas.openxmlformats.org/spreadsheetml/2006/main" count="131" uniqueCount="60">
  <si>
    <t>LCOE Calculations for an onshore wind project in Poland</t>
  </si>
  <si>
    <t>installation costs:</t>
  </si>
  <si>
    <t>initial O&amp;M costs:</t>
  </si>
  <si>
    <t>€/MW</t>
  </si>
  <si>
    <t>MW</t>
  </si>
  <si>
    <t>turbine capacity:</t>
  </si>
  <si>
    <t xml:space="preserve">capacity factor: </t>
  </si>
  <si>
    <t>Full Load Hours:</t>
  </si>
  <si>
    <t>hours</t>
  </si>
  <si>
    <t>MWh</t>
  </si>
  <si>
    <t>discount rate:</t>
  </si>
  <si>
    <t>fraction of unity</t>
  </si>
  <si>
    <t>escalation rate for O&amp;M</t>
  </si>
  <si>
    <t>fixed cost</t>
  </si>
  <si>
    <t>Year</t>
  </si>
  <si>
    <t>O&amp;M disc.</t>
  </si>
  <si>
    <t>Generation per year:</t>
  </si>
  <si>
    <t>Gener. disc.</t>
  </si>
  <si>
    <t>O&amp;M</t>
  </si>
  <si>
    <t>SUM</t>
  </si>
  <si>
    <t>LCOE</t>
  </si>
  <si>
    <t>€</t>
  </si>
  <si>
    <t>€/MWh</t>
  </si>
  <si>
    <t>turbine capacity</t>
  </si>
  <si>
    <t>capacity factor</t>
  </si>
  <si>
    <t>discount rate</t>
  </si>
  <si>
    <t>escalation rate</t>
  </si>
  <si>
    <t>lifetime</t>
  </si>
  <si>
    <t>no change</t>
  </si>
  <si>
    <t>LCOE down</t>
  </si>
  <si>
    <t>LCOE up</t>
  </si>
  <si>
    <t>look at contributions CAPEX vs OPEX</t>
  </si>
  <si>
    <t>changes:</t>
  </si>
  <si>
    <t>cost</t>
  </si>
  <si>
    <t>capacity fact</t>
  </si>
  <si>
    <t>Discount R</t>
  </si>
  <si>
    <t>O&amp;M Escal R</t>
  </si>
  <si>
    <t>Lifetime</t>
  </si>
  <si>
    <t>% change</t>
  </si>
  <si>
    <t>Cash Flows</t>
  </si>
  <si>
    <t>Capital</t>
  </si>
  <si>
    <t>power price year 1:</t>
  </si>
  <si>
    <t>power price escalation:</t>
  </si>
  <si>
    <t>Power price</t>
  </si>
  <si>
    <t>revenue</t>
  </si>
  <si>
    <t>CF of year</t>
  </si>
  <si>
    <t>discountedCF</t>
  </si>
  <si>
    <t>CDCF</t>
  </si>
  <si>
    <t>CDCF year 10 is nil with no power price escalation</t>
  </si>
  <si>
    <t>Assumptions for the power purchase agreement</t>
  </si>
  <si>
    <t>IRR 11,64% with these assumptions over 10 years</t>
  </si>
  <si>
    <t>5% with power price of 66,75 and no power price escalation =&gt; base case</t>
  </si>
  <si>
    <t>1 year =</t>
  </si>
  <si>
    <t>days =</t>
  </si>
  <si>
    <t>?</t>
  </si>
  <si>
    <t>DCF (NVP) ?</t>
  </si>
  <si>
    <t>IRR</t>
  </si>
  <si>
    <t>hours per year</t>
  </si>
  <si>
    <t>(year)</t>
  </si>
  <si>
    <t>Use this column for IRR function before discounted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</si>
</sst>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p&quot;#,##0.00;[Red]\-&quot;Rp&quot;#,##0.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aseline="0"/>
              <a:t>LCOE (€/MWh) as a function of initial cost variation (100=base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Cost!$B$3:$B$13</c:f>
              <c:numCache>
                <c:formatCode>0.00</c:formatCode>
                <c:ptCount val="11"/>
                <c:pt idx="0">
                  <c:v>66.666666666666657</c:v>
                </c:pt>
                <c:pt idx="1">
                  <c:v>73.333333333333329</c:v>
                </c:pt>
                <c:pt idx="2">
                  <c:v>80</c:v>
                </c:pt>
                <c:pt idx="3">
                  <c:v>86.666666666666671</c:v>
                </c:pt>
                <c:pt idx="4">
                  <c:v>93.333333333333329</c:v>
                </c:pt>
                <c:pt idx="5">
                  <c:v>100</c:v>
                </c:pt>
                <c:pt idx="6">
                  <c:v>106.66666666666667</c:v>
                </c:pt>
                <c:pt idx="7">
                  <c:v>113.33333333333333</c:v>
                </c:pt>
                <c:pt idx="8">
                  <c:v>120</c:v>
                </c:pt>
                <c:pt idx="9">
                  <c:v>126.66666666666667</c:v>
                </c:pt>
                <c:pt idx="10">
                  <c:v>133.33333333333334</c:v>
                </c:pt>
              </c:numCache>
            </c:numRef>
          </c:xVal>
          <c:yVal>
            <c:numRef>
              <c:f>Cost!$C$3:$C$13</c:f>
              <c:numCache>
                <c:formatCode>General</c:formatCode>
                <c:ptCount val="11"/>
                <c:pt idx="0">
                  <c:v>49.15</c:v>
                </c:pt>
                <c:pt idx="1">
                  <c:v>52.67</c:v>
                </c:pt>
                <c:pt idx="2">
                  <c:v>56.19</c:v>
                </c:pt>
                <c:pt idx="3">
                  <c:v>59.71</c:v>
                </c:pt>
                <c:pt idx="4">
                  <c:v>63.23</c:v>
                </c:pt>
                <c:pt idx="5">
                  <c:v>66.75</c:v>
                </c:pt>
                <c:pt idx="6">
                  <c:v>70.27</c:v>
                </c:pt>
                <c:pt idx="7">
                  <c:v>73.790000000000006</c:v>
                </c:pt>
                <c:pt idx="8">
                  <c:v>77.31</c:v>
                </c:pt>
                <c:pt idx="9">
                  <c:v>80.83</c:v>
                </c:pt>
                <c:pt idx="10">
                  <c:v>84.35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2-47C2-9DA9-FF8CFE735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064"/>
        <c:axId val="182253024"/>
      </c:scatterChart>
      <c:valAx>
        <c:axId val="1843120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024"/>
        <c:crosses val="autoZero"/>
        <c:crossBetween val="midCat"/>
        <c:majorUnit val="10"/>
      </c:valAx>
      <c:valAx>
        <c:axId val="1822530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0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aseline="0"/>
              <a:t>Cumulated discounted cash flows (€)</a:t>
            </a:r>
          </a:p>
        </c:rich>
      </c:tx>
      <c:layout>
        <c:manualLayout>
          <c:xMode val="edge"/>
          <c:yMode val="edge"/>
          <c:x val="5.5954781084226295E-2"/>
          <c:y val="2.903811252268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87342489539496"/>
          <c:y val="0.14392014519056262"/>
          <c:w val="0.8231725169116495"/>
          <c:h val="0.79002443660059729"/>
        </c:manualLayout>
      </c:layout>
      <c:scatterChart>
        <c:scatterStyle val="lineMarker"/>
        <c:varyColors val="0"/>
        <c:ser>
          <c:idx val="7"/>
          <c:order val="0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IRR!$A$11:$A$26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IRR!$I$11:$I$26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-3846600</c:v>
                </c:pt>
                <c:pt idx="2">
                  <c:v>-3249620.4227875313</c:v>
                </c:pt>
                <c:pt idx="3">
                  <c:v>-2704189.4224680061</c:v>
                </c:pt>
                <c:pt idx="4">
                  <c:v>-2205855.8320650002</c:v>
                </c:pt>
                <c:pt idx="5">
                  <c:v>-1750552.838325242</c:v>
                </c:pt>
                <c:pt idx="6">
                  <c:v>-1334564.7931670968</c:v>
                </c:pt>
                <c:pt idx="7">
                  <c:v>-954496.89092658437</c:v>
                </c:pt>
                <c:pt idx="8">
                  <c:v>-607247.46394223941</c:v>
                </c:pt>
                <c:pt idx="9">
                  <c:v>-289982.67038792925</c:v>
                </c:pt>
                <c:pt idx="10">
                  <c:v>-113.36778546031564</c:v>
                </c:pt>
                <c:pt idx="11">
                  <c:v>264726.01653424429</c:v>
                </c:pt>
                <c:pt idx="12">
                  <c:v>506696.79045586626</c:v>
                </c:pt>
                <c:pt idx="13">
                  <c:v>727773.63513524143</c:v>
                </c:pt>
                <c:pt idx="14">
                  <c:v>929760.72002682392</c:v>
                </c:pt>
                <c:pt idx="15">
                  <c:v>1114306.4263949841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B-4250-BAD2-14B63155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064"/>
        <c:axId val="182253024"/>
      </c:scatterChart>
      <c:valAx>
        <c:axId val="18431206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024"/>
        <c:crosses val="autoZero"/>
        <c:crossBetween val="midCat"/>
        <c:majorUnit val="1"/>
      </c:valAx>
      <c:valAx>
        <c:axId val="182253024"/>
        <c:scaling>
          <c:orientation val="minMax"/>
          <c:max val="2000000"/>
          <c:min val="-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064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Discounted</a:t>
            </a:r>
            <a:r>
              <a:rPr lang="fr-BE" baseline="0"/>
              <a:t> cash flows (€)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IRR!$H$12:$H$26</c:f>
              <c:numCache>
                <c:formatCode>0.00</c:formatCode>
                <c:ptCount val="15"/>
                <c:pt idx="0">
                  <c:v>-3846600</c:v>
                </c:pt>
                <c:pt idx="1">
                  <c:v>596979.5772124686</c:v>
                </c:pt>
                <c:pt idx="2">
                  <c:v>545431.00031952525</c:v>
                </c:pt>
                <c:pt idx="3">
                  <c:v>498333.59040300595</c:v>
                </c:pt>
                <c:pt idx="4">
                  <c:v>455302.99373975815</c:v>
                </c:pt>
                <c:pt idx="5">
                  <c:v>415988.04515814519</c:v>
                </c:pt>
                <c:pt idx="6">
                  <c:v>380067.90224051237</c:v>
                </c:pt>
                <c:pt idx="7">
                  <c:v>347249.42698434496</c:v>
                </c:pt>
                <c:pt idx="8">
                  <c:v>317264.79355431016</c:v>
                </c:pt>
                <c:pt idx="9">
                  <c:v>289869.30260246893</c:v>
                </c:pt>
                <c:pt idx="10">
                  <c:v>264839.38431970461</c:v>
                </c:pt>
                <c:pt idx="11">
                  <c:v>241970.77392162199</c:v>
                </c:pt>
                <c:pt idx="12">
                  <c:v>221076.84467937515</c:v>
                </c:pt>
                <c:pt idx="13">
                  <c:v>201987.08489158246</c:v>
                </c:pt>
                <c:pt idx="14">
                  <c:v>184545.70636816023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6-4EC4-8430-1F882910E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499471"/>
        <c:axId val="1009497359"/>
      </c:barChart>
      <c:catAx>
        <c:axId val="126749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97359"/>
        <c:crosses val="autoZero"/>
        <c:auto val="1"/>
        <c:lblAlgn val="ctr"/>
        <c:lblOffset val="100"/>
        <c:noMultiLvlLbl val="0"/>
      </c:catAx>
      <c:valAx>
        <c:axId val="10094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9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aseline="0"/>
              <a:t>LCOE (€/MWh) as a function of O&amp;M cost variation (100 = base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'O&amp;M'!$B$4:$B$10</c:f>
              <c:numCache>
                <c:formatCode>0.00</c:formatCode>
                <c:ptCount val="7"/>
                <c:pt idx="0">
                  <c:v>66.666666666666657</c:v>
                </c:pt>
                <c:pt idx="1">
                  <c:v>77.777777777777771</c:v>
                </c:pt>
                <c:pt idx="2">
                  <c:v>88.888888888888886</c:v>
                </c:pt>
                <c:pt idx="3">
                  <c:v>100</c:v>
                </c:pt>
                <c:pt idx="4">
                  <c:v>111.11111111111111</c:v>
                </c:pt>
                <c:pt idx="5">
                  <c:v>122.22222222222223</c:v>
                </c:pt>
                <c:pt idx="6">
                  <c:v>133.33333333333334</c:v>
                </c:pt>
              </c:numCache>
            </c:numRef>
          </c:xVal>
          <c:yVal>
            <c:numRef>
              <c:f>'O&amp;M'!$C$4:$C$10</c:f>
              <c:numCache>
                <c:formatCode>General</c:formatCode>
                <c:ptCount val="7"/>
                <c:pt idx="0">
                  <c:v>62.1</c:v>
                </c:pt>
                <c:pt idx="1">
                  <c:v>63.65</c:v>
                </c:pt>
                <c:pt idx="2">
                  <c:v>65.2</c:v>
                </c:pt>
                <c:pt idx="3">
                  <c:v>66.75</c:v>
                </c:pt>
                <c:pt idx="4">
                  <c:v>68.3</c:v>
                </c:pt>
                <c:pt idx="5">
                  <c:v>69.849999999999994</c:v>
                </c:pt>
                <c:pt idx="6">
                  <c:v>71.400000000000006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0-4133-A390-28AB5591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064"/>
        <c:axId val="182253024"/>
      </c:scatterChart>
      <c:valAx>
        <c:axId val="1843120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024"/>
        <c:crosses val="autoZero"/>
        <c:crossBetween val="midCat"/>
        <c:majorUnit val="10"/>
      </c:valAx>
      <c:valAx>
        <c:axId val="1822530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0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aseline="0"/>
              <a:t>LCOE (€/MWh) as a function of capacity factor variation (100 = base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'Cap Fact'!$B$4:$B$11</c:f>
              <c:numCache>
                <c:formatCode>0.00</c:formatCode>
                <c:ptCount val="8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174.99999999999997</c:v>
                </c:pt>
              </c:numCache>
            </c:numRef>
          </c:xVal>
          <c:yVal>
            <c:numRef>
              <c:f>'Cap Fact'!$C$4:$C$11</c:f>
              <c:numCache>
                <c:formatCode>General</c:formatCode>
                <c:ptCount val="8"/>
                <c:pt idx="0">
                  <c:v>133.5</c:v>
                </c:pt>
                <c:pt idx="1">
                  <c:v>89</c:v>
                </c:pt>
                <c:pt idx="2">
                  <c:v>66.75</c:v>
                </c:pt>
                <c:pt idx="3">
                  <c:v>53.4</c:v>
                </c:pt>
                <c:pt idx="4">
                  <c:v>44.5</c:v>
                </c:pt>
                <c:pt idx="5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F-4E8F-9F77-8E999DD0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064"/>
        <c:axId val="182253024"/>
      </c:scatterChart>
      <c:valAx>
        <c:axId val="1843120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024"/>
        <c:crosses val="autoZero"/>
        <c:crossBetween val="midCat"/>
        <c:majorUnit val="10"/>
      </c:valAx>
      <c:valAx>
        <c:axId val="1822530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0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aseline="0"/>
              <a:t>LCOE (€/MWh) as a function of the discount rate variation (100 = base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298185384992642E-2"/>
          <c:y val="0.12451552210724366"/>
          <c:w val="0.9139528794800601"/>
          <c:h val="0.773139161932133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Discount!$B$3:$B$10</c:f>
              <c:numCache>
                <c:formatCode>0.00</c:formatCode>
                <c:ptCount val="8"/>
                <c:pt idx="0">
                  <c:v>39.999999999999993</c:v>
                </c:pt>
                <c:pt idx="1">
                  <c:v>59.999999999999993</c:v>
                </c:pt>
                <c:pt idx="2">
                  <c:v>80</c:v>
                </c:pt>
                <c:pt idx="3">
                  <c:v>100</c:v>
                </c:pt>
                <c:pt idx="4">
                  <c:v>119.99999999999999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</c:numCache>
            </c:numRef>
          </c:xVal>
          <c:yVal>
            <c:numRef>
              <c:f>Discount!$C$3:$C$10</c:f>
              <c:numCache>
                <c:formatCode>General</c:formatCode>
                <c:ptCount val="8"/>
                <c:pt idx="0">
                  <c:v>60.74</c:v>
                </c:pt>
                <c:pt idx="1">
                  <c:v>62.72</c:v>
                </c:pt>
                <c:pt idx="2">
                  <c:v>64.72</c:v>
                </c:pt>
                <c:pt idx="3">
                  <c:v>66.75</c:v>
                </c:pt>
                <c:pt idx="4">
                  <c:v>68.8</c:v>
                </c:pt>
                <c:pt idx="5">
                  <c:v>70.87</c:v>
                </c:pt>
                <c:pt idx="6">
                  <c:v>72.959999999999994</c:v>
                </c:pt>
                <c:pt idx="7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C-445B-9BBA-8F474A3E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064"/>
        <c:axId val="182253024"/>
      </c:scatterChart>
      <c:valAx>
        <c:axId val="1843120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024"/>
        <c:crosses val="autoZero"/>
        <c:crossBetween val="midCat"/>
        <c:majorUnit val="10"/>
      </c:valAx>
      <c:valAx>
        <c:axId val="1822530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0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aseline="0"/>
              <a:t>LCOE (€/MWh) as a function of the O&amp;M escalation rate variation (100 = base case)</a:t>
            </a:r>
          </a:p>
        </c:rich>
      </c:tx>
      <c:layout>
        <c:manualLayout>
          <c:xMode val="edge"/>
          <c:yMode val="edge"/>
          <c:x val="6.2285434036292303E-2"/>
          <c:y val="2.2577610536218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'Escal R'!$B$3:$B$8</c:f>
              <c:numCache>
                <c:formatCode>0.00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'Escal R'!$C$3:$C$8</c:f>
              <c:numCache>
                <c:formatCode>General</c:formatCode>
                <c:ptCount val="6"/>
                <c:pt idx="0">
                  <c:v>65.64</c:v>
                </c:pt>
                <c:pt idx="1">
                  <c:v>66.180000000000007</c:v>
                </c:pt>
                <c:pt idx="2">
                  <c:v>66.75</c:v>
                </c:pt>
                <c:pt idx="3">
                  <c:v>67.349999999999994</c:v>
                </c:pt>
                <c:pt idx="4">
                  <c:v>67.98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6-4520-BD43-B5998CE3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064"/>
        <c:axId val="182253024"/>
      </c:scatterChart>
      <c:valAx>
        <c:axId val="1843120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024"/>
        <c:crosses val="autoZero"/>
        <c:crossBetween val="midCat"/>
        <c:majorUnit val="10"/>
      </c:valAx>
      <c:valAx>
        <c:axId val="1822530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0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aseline="0"/>
              <a:t>LCOE (€/MWh) as a function of the book lifetime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Lifetime!$B$3:$B$10</c:f>
              <c:numCache>
                <c:formatCode>0.00</c:formatCode>
                <c:ptCount val="8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</c:numCache>
            </c:numRef>
          </c:xVal>
          <c:yVal>
            <c:numRef>
              <c:f>Lifetime!$C$3:$C$10</c:f>
              <c:numCache>
                <c:formatCode>General</c:formatCode>
                <c:ptCount val="8"/>
                <c:pt idx="0">
                  <c:v>76.790000000000006</c:v>
                </c:pt>
                <c:pt idx="1">
                  <c:v>71.19</c:v>
                </c:pt>
                <c:pt idx="2">
                  <c:v>66.75</c:v>
                </c:pt>
                <c:pt idx="3">
                  <c:v>63.15</c:v>
                </c:pt>
                <c:pt idx="4">
                  <c:v>60.19</c:v>
                </c:pt>
                <c:pt idx="5">
                  <c:v>57.71</c:v>
                </c:pt>
                <c:pt idx="6">
                  <c:v>55.61</c:v>
                </c:pt>
                <c:pt idx="7">
                  <c:v>53.82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E-433C-B26C-69B1EDCD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064"/>
        <c:axId val="182253024"/>
      </c:scatterChart>
      <c:valAx>
        <c:axId val="1843120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024"/>
        <c:crosses val="autoZero"/>
        <c:crossBetween val="midCat"/>
        <c:majorUnit val="10"/>
      </c:valAx>
      <c:valAx>
        <c:axId val="1822530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0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aseline="0"/>
              <a:t>Sensitivity analysis: LCOE (€/MWh) for variations in several assumptions (100 = base case)</a:t>
            </a:r>
          </a:p>
        </c:rich>
      </c:tx>
      <c:layout>
        <c:manualLayout>
          <c:xMode val="edge"/>
          <c:yMode val="edge"/>
          <c:x val="4.5410614286932542E-2"/>
          <c:y val="2.9170456529129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Initial Cost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Cost!$B$3:$B$13</c:f>
              <c:numCache>
                <c:formatCode>0.00</c:formatCode>
                <c:ptCount val="11"/>
                <c:pt idx="0">
                  <c:v>66.666666666666657</c:v>
                </c:pt>
                <c:pt idx="1">
                  <c:v>73.333333333333329</c:v>
                </c:pt>
                <c:pt idx="2">
                  <c:v>80</c:v>
                </c:pt>
                <c:pt idx="3">
                  <c:v>86.666666666666671</c:v>
                </c:pt>
                <c:pt idx="4">
                  <c:v>93.333333333333329</c:v>
                </c:pt>
                <c:pt idx="5">
                  <c:v>100</c:v>
                </c:pt>
                <c:pt idx="6">
                  <c:v>106.66666666666667</c:v>
                </c:pt>
                <c:pt idx="7">
                  <c:v>113.33333333333333</c:v>
                </c:pt>
                <c:pt idx="8">
                  <c:v>120</c:v>
                </c:pt>
                <c:pt idx="9">
                  <c:v>126.66666666666667</c:v>
                </c:pt>
                <c:pt idx="10">
                  <c:v>133.33333333333334</c:v>
                </c:pt>
              </c:numCache>
            </c:numRef>
          </c:xVal>
          <c:yVal>
            <c:numRef>
              <c:f>Cost!$C$3:$C$13</c:f>
              <c:numCache>
                <c:formatCode>General</c:formatCode>
                <c:ptCount val="11"/>
                <c:pt idx="0">
                  <c:v>49.15</c:v>
                </c:pt>
                <c:pt idx="1">
                  <c:v>52.67</c:v>
                </c:pt>
                <c:pt idx="2">
                  <c:v>56.19</c:v>
                </c:pt>
                <c:pt idx="3">
                  <c:v>59.71</c:v>
                </c:pt>
                <c:pt idx="4">
                  <c:v>63.23</c:v>
                </c:pt>
                <c:pt idx="5">
                  <c:v>66.75</c:v>
                </c:pt>
                <c:pt idx="6">
                  <c:v>70.27</c:v>
                </c:pt>
                <c:pt idx="7">
                  <c:v>73.790000000000006</c:v>
                </c:pt>
                <c:pt idx="8">
                  <c:v>77.31</c:v>
                </c:pt>
                <c:pt idx="9">
                  <c:v>80.83</c:v>
                </c:pt>
                <c:pt idx="10">
                  <c:v>84.35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9-4CB8-A8F1-EBD6CAF3EF51}"/>
            </c:ext>
          </c:extLst>
        </c:ser>
        <c:ser>
          <c:idx val="1"/>
          <c:order val="1"/>
          <c:tx>
            <c:v>O&amp;M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'O&amp;M'!$B$4:$B$10</c:f>
              <c:numCache>
                <c:formatCode>0.00</c:formatCode>
                <c:ptCount val="7"/>
                <c:pt idx="0">
                  <c:v>66.666666666666657</c:v>
                </c:pt>
                <c:pt idx="1">
                  <c:v>77.777777777777771</c:v>
                </c:pt>
                <c:pt idx="2">
                  <c:v>88.888888888888886</c:v>
                </c:pt>
                <c:pt idx="3">
                  <c:v>100</c:v>
                </c:pt>
                <c:pt idx="4">
                  <c:v>111.11111111111111</c:v>
                </c:pt>
                <c:pt idx="5">
                  <c:v>122.22222222222223</c:v>
                </c:pt>
                <c:pt idx="6">
                  <c:v>133.33333333333334</c:v>
                </c:pt>
              </c:numCache>
            </c:numRef>
          </c:xVal>
          <c:yVal>
            <c:numRef>
              <c:f>'O&amp;M'!$C$4:$C$10</c:f>
              <c:numCache>
                <c:formatCode>General</c:formatCode>
                <c:ptCount val="7"/>
                <c:pt idx="0">
                  <c:v>62.1</c:v>
                </c:pt>
                <c:pt idx="1">
                  <c:v>63.65</c:v>
                </c:pt>
                <c:pt idx="2">
                  <c:v>65.2</c:v>
                </c:pt>
                <c:pt idx="3">
                  <c:v>66.75</c:v>
                </c:pt>
                <c:pt idx="4">
                  <c:v>68.3</c:v>
                </c:pt>
                <c:pt idx="5">
                  <c:v>69.849999999999994</c:v>
                </c:pt>
                <c:pt idx="6">
                  <c:v>71.400000000000006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9-4CB8-A8F1-EBD6CAF3EF51}"/>
            </c:ext>
          </c:extLst>
        </c:ser>
        <c:ser>
          <c:idx val="2"/>
          <c:order val="2"/>
          <c:tx>
            <c:v>Cap Factor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'Cap Fact'!$B$4:$B$9</c:f>
              <c:numCache>
                <c:formatCode>0.00</c:formatCode>
                <c:ptCount val="6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174.99999999999997</c:v>
                </c:pt>
              </c:numCache>
            </c:numRef>
          </c:xVal>
          <c:yVal>
            <c:numRef>
              <c:f>'Cap Fact'!$C$4:$C$9</c:f>
              <c:numCache>
                <c:formatCode>General</c:formatCode>
                <c:ptCount val="6"/>
                <c:pt idx="0">
                  <c:v>133.5</c:v>
                </c:pt>
                <c:pt idx="1">
                  <c:v>89</c:v>
                </c:pt>
                <c:pt idx="2">
                  <c:v>66.75</c:v>
                </c:pt>
                <c:pt idx="3">
                  <c:v>53.4</c:v>
                </c:pt>
                <c:pt idx="4">
                  <c:v>44.5</c:v>
                </c:pt>
                <c:pt idx="5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9-4CB8-A8F1-EBD6CAF3EF51}"/>
            </c:ext>
          </c:extLst>
        </c:ser>
        <c:ser>
          <c:idx val="3"/>
          <c:order val="3"/>
          <c:tx>
            <c:v>Discount Rate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Discount!$B$3:$B$10</c:f>
              <c:numCache>
                <c:formatCode>0.00</c:formatCode>
                <c:ptCount val="8"/>
                <c:pt idx="0">
                  <c:v>39.999999999999993</c:v>
                </c:pt>
                <c:pt idx="1">
                  <c:v>59.999999999999993</c:v>
                </c:pt>
                <c:pt idx="2">
                  <c:v>80</c:v>
                </c:pt>
                <c:pt idx="3">
                  <c:v>100</c:v>
                </c:pt>
                <c:pt idx="4">
                  <c:v>119.99999999999999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</c:numCache>
            </c:numRef>
          </c:xVal>
          <c:yVal>
            <c:numRef>
              <c:f>Discount!$C$3:$C$10</c:f>
              <c:numCache>
                <c:formatCode>General</c:formatCode>
                <c:ptCount val="8"/>
                <c:pt idx="0">
                  <c:v>60.74</c:v>
                </c:pt>
                <c:pt idx="1">
                  <c:v>62.72</c:v>
                </c:pt>
                <c:pt idx="2">
                  <c:v>64.72</c:v>
                </c:pt>
                <c:pt idx="3">
                  <c:v>66.75</c:v>
                </c:pt>
                <c:pt idx="4">
                  <c:v>68.8</c:v>
                </c:pt>
                <c:pt idx="5">
                  <c:v>70.87</c:v>
                </c:pt>
                <c:pt idx="6">
                  <c:v>72.959999999999994</c:v>
                </c:pt>
                <c:pt idx="7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9-4CB8-A8F1-EBD6CAF3EF51}"/>
            </c:ext>
          </c:extLst>
        </c:ser>
        <c:ser>
          <c:idx val="4"/>
          <c:order val="4"/>
          <c:tx>
            <c:v>Escalation Rate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'Escal R'!$B$3:$B$7</c:f>
              <c:numCache>
                <c:formatCode>0.00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'Escal R'!$C$3:$C$7</c:f>
              <c:numCache>
                <c:formatCode>General</c:formatCode>
                <c:ptCount val="5"/>
                <c:pt idx="0">
                  <c:v>65.64</c:v>
                </c:pt>
                <c:pt idx="1">
                  <c:v>66.180000000000007</c:v>
                </c:pt>
                <c:pt idx="2">
                  <c:v>66.75</c:v>
                </c:pt>
                <c:pt idx="3">
                  <c:v>67.349999999999994</c:v>
                </c:pt>
                <c:pt idx="4">
                  <c:v>67.98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59-4CB8-A8F1-EBD6CAF3EF51}"/>
            </c:ext>
          </c:extLst>
        </c:ser>
        <c:ser>
          <c:idx val="5"/>
          <c:order val="5"/>
          <c:tx>
            <c:v>Lifetime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Lifetime!$B$3:$B$10</c:f>
              <c:numCache>
                <c:formatCode>0.00</c:formatCode>
                <c:ptCount val="8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</c:numCache>
            </c:numRef>
          </c:xVal>
          <c:yVal>
            <c:numRef>
              <c:f>Lifetime!$C$3:$C$10</c:f>
              <c:numCache>
                <c:formatCode>General</c:formatCode>
                <c:ptCount val="8"/>
                <c:pt idx="0">
                  <c:v>76.790000000000006</c:v>
                </c:pt>
                <c:pt idx="1">
                  <c:v>71.19</c:v>
                </c:pt>
                <c:pt idx="2">
                  <c:v>66.75</c:v>
                </c:pt>
                <c:pt idx="3">
                  <c:v>63.15</c:v>
                </c:pt>
                <c:pt idx="4">
                  <c:v>60.19</c:v>
                </c:pt>
                <c:pt idx="5">
                  <c:v>57.71</c:v>
                </c:pt>
                <c:pt idx="6">
                  <c:v>55.61</c:v>
                </c:pt>
                <c:pt idx="7">
                  <c:v>53.82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59-4CB8-A8F1-EBD6CAF3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064"/>
        <c:axId val="182253024"/>
      </c:scatterChart>
      <c:valAx>
        <c:axId val="1843120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024"/>
        <c:crosses val="autoZero"/>
        <c:crossBetween val="midCat"/>
        <c:majorUnit val="10"/>
      </c:valAx>
      <c:valAx>
        <c:axId val="1822530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0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aseline="0"/>
              <a:t>Cumulated discounted cash flows (€)</a:t>
            </a:r>
          </a:p>
        </c:rich>
      </c:tx>
      <c:layout>
        <c:manualLayout>
          <c:xMode val="edge"/>
          <c:yMode val="edge"/>
          <c:x val="5.5954781084226295E-2"/>
          <c:y val="2.9038112522686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87342489539496"/>
          <c:y val="0.14392014519056262"/>
          <c:w val="0.8231725169116495"/>
          <c:h val="0.79002443660059729"/>
        </c:manualLayout>
      </c:layout>
      <c:scatterChart>
        <c:scatterStyle val="lineMarker"/>
        <c:varyColors val="0"/>
        <c:ser>
          <c:idx val="7"/>
          <c:order val="0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CFs!$A$11:$A$26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CFs!$I$11:$I$26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-3933324</c:v>
                </c:pt>
                <c:pt idx="2">
                  <c:v>-3396204</c:v>
                </c:pt>
                <c:pt idx="3">
                  <c:v>-2887159.1020408161</c:v>
                </c:pt>
                <c:pt idx="4">
                  <c:v>-2404781.0262390669</c:v>
                </c:pt>
                <c:pt idx="5">
                  <c:v>-1947730.5928085519</c:v>
                </c:pt>
                <c:pt idx="6">
                  <c:v>-1514734.3733179958</c:v>
                </c:pt>
                <c:pt idx="7">
                  <c:v>-1104581.5030773208</c:v>
                </c:pt>
                <c:pt idx="8">
                  <c:v>-716120.64693210134</c:v>
                </c:pt>
                <c:pt idx="9">
                  <c:v>-348257.11111484776</c:v>
                </c:pt>
                <c:pt idx="10">
                  <c:v>49.905846849200316</c:v>
                </c:pt>
                <c:pt idx="11">
                  <c:v>329789.92983066838</c:v>
                </c:pt>
                <c:pt idx="12">
                  <c:v>641903.70177511242</c:v>
                </c:pt>
                <c:pt idx="13">
                  <c:v>937285.54833354347</c:v>
                </c:pt>
                <c:pt idx="14">
                  <c:v>1216785.6382810259</c:v>
                </c:pt>
                <c:pt idx="15">
                  <c:v>1481212.1301531442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BA-4FFF-AC3A-3488BFA9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2064"/>
        <c:axId val="182253024"/>
      </c:scatterChart>
      <c:valAx>
        <c:axId val="18431206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53024"/>
        <c:crosses val="autoZero"/>
        <c:crossBetween val="midCat"/>
        <c:majorUnit val="1"/>
      </c:valAx>
      <c:valAx>
        <c:axId val="182253024"/>
        <c:scaling>
          <c:orientation val="minMax"/>
          <c:max val="2000000"/>
          <c:min val="-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2064"/>
        <c:crosses val="autoZero"/>
        <c:crossBetween val="midCat"/>
        <c:majorUnit val="5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Discounted</a:t>
            </a:r>
            <a:r>
              <a:rPr lang="fr-BE" baseline="0"/>
              <a:t> cash flows (€)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CFs!$H$12:$H$26</c:f>
              <c:numCache>
                <c:formatCode>0.00</c:formatCode>
                <c:ptCount val="15"/>
                <c:pt idx="0">
                  <c:v>-3933324</c:v>
                </c:pt>
                <c:pt idx="1">
                  <c:v>537120</c:v>
                </c:pt>
                <c:pt idx="2">
                  <c:v>509044.89795918367</c:v>
                </c:pt>
                <c:pt idx="3">
                  <c:v>482378.07580174913</c:v>
                </c:pt>
                <c:pt idx="4">
                  <c:v>457050.433430515</c:v>
                </c:pt>
                <c:pt idx="5">
                  <c:v>432996.21949055605</c:v>
                </c:pt>
                <c:pt idx="6">
                  <c:v>410152.87024067505</c:v>
                </c:pt>
                <c:pt idx="7">
                  <c:v>388460.85614521947</c:v>
                </c:pt>
                <c:pt idx="8">
                  <c:v>367863.53581725358</c:v>
                </c:pt>
                <c:pt idx="9">
                  <c:v>348307.01696169697</c:v>
                </c:pt>
                <c:pt idx="10">
                  <c:v>329740.02398381918</c:v>
                </c:pt>
                <c:pt idx="11">
                  <c:v>312113.77194444399</c:v>
                </c:pt>
                <c:pt idx="12">
                  <c:v>295381.84655843105</c:v>
                </c:pt>
                <c:pt idx="13">
                  <c:v>279500.08994748234</c:v>
                </c:pt>
                <c:pt idx="14">
                  <c:v>264426.49187211844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F-48B5-8FD9-E41D0E70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499471"/>
        <c:axId val="1009497359"/>
      </c:barChart>
      <c:catAx>
        <c:axId val="126749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97359"/>
        <c:crosses val="autoZero"/>
        <c:auto val="1"/>
        <c:lblAlgn val="ctr"/>
        <c:lblOffset val="100"/>
        <c:noMultiLvlLbl val="0"/>
      </c:catAx>
      <c:valAx>
        <c:axId val="10094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9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539750</xdr:colOff>
      <xdr:row>13</xdr:row>
      <xdr:rowOff>58387</xdr:rowOff>
    </xdr:from>
    <xdr:to>
      <xdr:col>13</xdr:col>
      <xdr:colOff>525962</xdr:colOff>
      <xdr:row>22</xdr:row>
      <xdr:rowOff>171133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80A7823-24A8-4278-93E8-9D508B8CD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2150" y="2452337"/>
          <a:ext cx="6082212" cy="17700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382411</xdr:colOff>
      <xdr:row>31</xdr:row>
      <xdr:rowOff>99484</xdr:rowOff>
    </xdr:from>
    <xdr:to>
      <xdr:col>14</xdr:col>
      <xdr:colOff>344311</xdr:colOff>
      <xdr:row>51</xdr:row>
      <xdr:rowOff>156633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4770F2B-040C-47E6-8878-0C556CC4C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152047</xdr:rowOff>
    </xdr:from>
    <xdr:to>
      <xdr:col>7</xdr:col>
      <xdr:colOff>196850</xdr:colOff>
      <xdr:row>51</xdr:row>
      <xdr:rowOff>34572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46E64-CC25-4987-A0F0-CD4AB1F2D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232833</xdr:colOff>
      <xdr:row>10</xdr:row>
      <xdr:rowOff>68302</xdr:rowOff>
    </xdr:from>
    <xdr:to>
      <xdr:col>16</xdr:col>
      <xdr:colOff>61706</xdr:colOff>
      <xdr:row>15</xdr:row>
      <xdr:rowOff>32269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D6B3CC0-A74E-474F-B9D9-0234A2C8C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4666" y="1902746"/>
          <a:ext cx="5162873" cy="881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263524</xdr:colOff>
      <xdr:row>1</xdr:row>
      <xdr:rowOff>9524</xdr:rowOff>
    </xdr:from>
    <xdr:to>
      <xdr:col>11</xdr:col>
      <xdr:colOff>755650</xdr:colOff>
      <xdr:row>19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69B5C8-21F8-4FAB-A58F-BD7C80AA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0</xdr:rowOff>
    </xdr:from>
    <xdr:to>
      <xdr:col>12</xdr:col>
      <xdr:colOff>6350</xdr:colOff>
      <xdr:row>20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9C13176-B45E-4C7F-B149-B46282133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247651</xdr:colOff>
      <xdr:row>1</xdr:row>
      <xdr:rowOff>12701</xdr:rowOff>
    </xdr:from>
    <xdr:to>
      <xdr:col>12</xdr:col>
      <xdr:colOff>6351</xdr:colOff>
      <xdr:row>19</xdr:row>
      <xdr:rowOff>171451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E6722B-CBF2-4D78-8827-330D50256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6350</xdr:rowOff>
    </xdr:from>
    <xdr:to>
      <xdr:col>11</xdr:col>
      <xdr:colOff>755650</xdr:colOff>
      <xdr:row>20</xdr:row>
      <xdr:rowOff>19050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3F0F6D7-52CE-4E8C-A0C1-7BFE037FD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171450</xdr:rowOff>
    </xdr:from>
    <xdr:to>
      <xdr:col>12</xdr:col>
      <xdr:colOff>12700</xdr:colOff>
      <xdr:row>19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95F747-9CA4-4285-BD4E-9B859F313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6350</xdr:rowOff>
    </xdr:from>
    <xdr:to>
      <xdr:col>12</xdr:col>
      <xdr:colOff>6350</xdr:colOff>
      <xdr:row>20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018009-8A9E-4654-8C8C-A4A0A629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177800</xdr:colOff>
      <xdr:row>20</xdr:row>
      <xdr:rowOff>168276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830F27-E196-41BB-A32F-D8D74E8A4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26</xdr:row>
      <xdr:rowOff>120650</xdr:rowOff>
    </xdr:from>
    <xdr:to>
      <xdr:col>14</xdr:col>
      <xdr:colOff>266700</xdr:colOff>
      <xdr:row>46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232808D-0FC8-4F7F-8354-4074A97C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123824</xdr:rowOff>
    </xdr:from>
    <xdr:to>
      <xdr:col>7</xdr:col>
      <xdr:colOff>196850</xdr:colOff>
      <xdr:row>47</xdr:row>
      <xdr:rowOff>6350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C8CB9D5-0991-454F-804C-F6F3E19D3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529167</xdr:colOff>
      <xdr:row>4</xdr:row>
      <xdr:rowOff>8782</xdr:rowOff>
    </xdr:from>
    <xdr:to>
      <xdr:col>14</xdr:col>
      <xdr:colOff>416278</xdr:colOff>
      <xdr:row>16</xdr:row>
      <xdr:rowOff>5032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8684DA-68E5-4C72-A97B-AD60905B8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0" y="742560"/>
          <a:ext cx="3697111" cy="2197583"/>
        </a:xfrm>
        <a:prstGeom prst="rect">
          <a:avLst/>
        </a:prstGeom>
      </xdr:spPr>
    </xdr:pic>
    <xdr:clientData/>
  </xdr:twoCellAnchor>
  <xdr:twoCellAnchor editAs="oneCell">
    <xdr:from>
      <xdr:col>9</xdr:col>
      <xdr:colOff>529167</xdr:colOff>
      <xdr:row>16</xdr:row>
      <xdr:rowOff>48899</xdr:rowOff>
    </xdr:from>
    <xdr:to>
      <xdr:col>14</xdr:col>
      <xdr:colOff>531261</xdr:colOff>
      <xdr:row>26</xdr:row>
      <xdr:rowOff>72166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71DCA65-09EE-455D-81CD-55BD62C22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1000" y="2984010"/>
          <a:ext cx="3812094" cy="1857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F6A6-FDDC-46D9-94C7-A5F5E7E1229C}">
  <dimension ref="A1:J28"/>
  <sheetViews>
    <sheetView tabSelected="1" workbookViewId="0">
      <selection activeCell="C12" sqref="C12"/>
    </sheetView>
  </sheetViews>
  <sheetFormatPr defaultColWidth="10.90625" defaultRowHeight="14.5" x14ac:dyDescent="0.35"/>
  <cols>
    <col min="2" max="2" width="12.26953125" bestFit="1" customWidth="1"/>
    <col min="3" max="4" width="11.26953125" bestFit="1" customWidth="1"/>
    <col min="5" max="5" width="11" bestFit="1" customWidth="1"/>
  </cols>
  <sheetData>
    <row r="1" spans="1:10" s="1" customFormat="1" x14ac:dyDescent="0.35">
      <c r="A1" s="1" t="s">
        <v>0</v>
      </c>
    </row>
    <row r="3" spans="1:10" x14ac:dyDescent="0.35">
      <c r="A3" t="s">
        <v>1</v>
      </c>
      <c r="C3">
        <v>1500000</v>
      </c>
      <c r="D3" t="s">
        <v>3</v>
      </c>
      <c r="E3" s="2"/>
      <c r="G3" t="s">
        <v>32</v>
      </c>
      <c r="H3" t="s">
        <v>33</v>
      </c>
      <c r="J3" t="s">
        <v>30</v>
      </c>
    </row>
    <row r="4" spans="1:10" x14ac:dyDescent="0.35">
      <c r="A4" t="s">
        <v>2</v>
      </c>
      <c r="C4">
        <v>45000</v>
      </c>
      <c r="D4" t="s">
        <v>3</v>
      </c>
      <c r="H4" t="s">
        <v>18</v>
      </c>
      <c r="J4" t="s">
        <v>30</v>
      </c>
    </row>
    <row r="5" spans="1:10" x14ac:dyDescent="0.35">
      <c r="A5" t="s">
        <v>5</v>
      </c>
      <c r="C5">
        <v>3</v>
      </c>
      <c r="D5" t="s">
        <v>4</v>
      </c>
      <c r="H5" t="s">
        <v>23</v>
      </c>
      <c r="J5" t="s">
        <v>28</v>
      </c>
    </row>
    <row r="6" spans="1:10" x14ac:dyDescent="0.35">
      <c r="A6" t="s">
        <v>6</v>
      </c>
      <c r="C6">
        <v>0.4</v>
      </c>
      <c r="D6" t="s">
        <v>11</v>
      </c>
      <c r="F6" t="s">
        <v>54</v>
      </c>
      <c r="H6" t="s">
        <v>24</v>
      </c>
      <c r="J6" t="s">
        <v>29</v>
      </c>
    </row>
    <row r="7" spans="1:10" x14ac:dyDescent="0.35">
      <c r="A7" t="s">
        <v>10</v>
      </c>
      <c r="C7">
        <v>0.05</v>
      </c>
      <c r="D7" t="s">
        <v>11</v>
      </c>
      <c r="F7" t="s">
        <v>54</v>
      </c>
      <c r="H7" t="s">
        <v>25</v>
      </c>
      <c r="J7" t="s">
        <v>30</v>
      </c>
    </row>
    <row r="8" spans="1:10" x14ac:dyDescent="0.35">
      <c r="A8" t="s">
        <v>12</v>
      </c>
      <c r="C8">
        <v>0.02</v>
      </c>
      <c r="D8" t="s">
        <v>11</v>
      </c>
      <c r="F8" t="s">
        <v>54</v>
      </c>
      <c r="H8" t="s">
        <v>26</v>
      </c>
      <c r="J8" t="s">
        <v>30</v>
      </c>
    </row>
    <row r="9" spans="1:10" x14ac:dyDescent="0.35">
      <c r="H9" t="s">
        <v>27</v>
      </c>
      <c r="J9" t="s">
        <v>29</v>
      </c>
    </row>
    <row r="10" spans="1:10" x14ac:dyDescent="0.35">
      <c r="A10" t="s">
        <v>7</v>
      </c>
      <c r="C10">
        <f>8760*C6</f>
        <v>3504</v>
      </c>
      <c r="D10" t="s">
        <v>8</v>
      </c>
    </row>
    <row r="11" spans="1:10" x14ac:dyDescent="0.35">
      <c r="A11" t="s">
        <v>16</v>
      </c>
      <c r="C11">
        <f>C5*8760*C6</f>
        <v>10512</v>
      </c>
      <c r="D11" t="s">
        <v>9</v>
      </c>
      <c r="E11" t="s">
        <v>52</v>
      </c>
      <c r="F11">
        <v>365</v>
      </c>
      <c r="G11" t="s">
        <v>53</v>
      </c>
      <c r="H11" s="13">
        <v>8760</v>
      </c>
      <c r="I11" t="s">
        <v>57</v>
      </c>
    </row>
    <row r="13" spans="1:10" x14ac:dyDescent="0.35">
      <c r="A13" s="14" t="s">
        <v>14</v>
      </c>
      <c r="B13" s="14" t="s">
        <v>13</v>
      </c>
      <c r="C13" s="14" t="s">
        <v>18</v>
      </c>
      <c r="D13" s="14" t="s">
        <v>15</v>
      </c>
      <c r="E13" s="14" t="s">
        <v>17</v>
      </c>
    </row>
    <row r="14" spans="1:10" x14ac:dyDescent="0.35">
      <c r="A14" s="14"/>
      <c r="B14" s="14" t="s">
        <v>21</v>
      </c>
      <c r="C14" s="14" t="s">
        <v>21</v>
      </c>
      <c r="D14" s="14" t="s">
        <v>21</v>
      </c>
      <c r="E14" s="14" t="s">
        <v>9</v>
      </c>
    </row>
    <row r="15" spans="1:10" x14ac:dyDescent="0.35">
      <c r="A15" s="14">
        <v>1</v>
      </c>
      <c r="B15" s="15">
        <f>C3*C5</f>
        <v>4500000</v>
      </c>
      <c r="C15" s="15">
        <f>C4*C5</f>
        <v>135000</v>
      </c>
      <c r="D15" s="15">
        <f>C15/((1+$C$7)^(A15-1))</f>
        <v>135000</v>
      </c>
      <c r="E15" s="15">
        <f>$C$10/((1+$C$7)^(A15-1))*C$5</f>
        <v>10512</v>
      </c>
    </row>
    <row r="16" spans="1:10" x14ac:dyDescent="0.35">
      <c r="A16" s="14">
        <f>A15+1</f>
        <v>2</v>
      </c>
      <c r="B16" s="15"/>
      <c r="C16" s="15">
        <f>C15*(1+$C$8)</f>
        <v>137700</v>
      </c>
      <c r="D16" s="15">
        <f>C16/((1+$C$7)^(A16-1))</f>
        <v>131142.85714285713</v>
      </c>
      <c r="E16" s="15">
        <f t="shared" ref="E16:E24" si="0">$C$10/((1+$C$7)^(A16-1))*C$5</f>
        <v>10011.428571428571</v>
      </c>
    </row>
    <row r="17" spans="1:7" x14ac:dyDescent="0.35">
      <c r="A17" s="14">
        <f t="shared" ref="A17:A24" si="1">A16+1</f>
        <v>3</v>
      </c>
      <c r="B17" s="15"/>
      <c r="C17" s="15">
        <f>C16*(1+$C$8)</f>
        <v>140454</v>
      </c>
      <c r="D17" s="15">
        <f t="shared" ref="D17:D22" si="2">C17/((1+$C$7)^(A17-1))</f>
        <v>127395.91836734694</v>
      </c>
      <c r="E17" s="15">
        <f t="shared" si="0"/>
        <v>9534.6938775510207</v>
      </c>
    </row>
    <row r="18" spans="1:7" x14ac:dyDescent="0.35">
      <c r="A18" s="14">
        <f t="shared" si="1"/>
        <v>4</v>
      </c>
      <c r="B18" s="15"/>
      <c r="C18" s="15">
        <f t="shared" ref="C18:C23" si="3">C17*(1+$C$8)</f>
        <v>143263.08000000002</v>
      </c>
      <c r="D18" s="15">
        <f t="shared" si="2"/>
        <v>123756.03498542274</v>
      </c>
      <c r="E18" s="15">
        <f t="shared" si="0"/>
        <v>9080.6608357628756</v>
      </c>
    </row>
    <row r="19" spans="1:7" x14ac:dyDescent="0.35">
      <c r="A19" s="14">
        <f t="shared" si="1"/>
        <v>5</v>
      </c>
      <c r="B19" s="15"/>
      <c r="C19" s="15">
        <f t="shared" si="3"/>
        <v>146128.34160000001</v>
      </c>
      <c r="D19" s="15">
        <f t="shared" si="2"/>
        <v>120220.14827155352</v>
      </c>
      <c r="E19" s="15">
        <f t="shared" si="0"/>
        <v>8648.2484150122618</v>
      </c>
    </row>
    <row r="20" spans="1:7" x14ac:dyDescent="0.35">
      <c r="A20" s="14">
        <f t="shared" si="1"/>
        <v>6</v>
      </c>
      <c r="B20" s="15"/>
      <c r="C20" s="15">
        <f t="shared" si="3"/>
        <v>149050.90843200003</v>
      </c>
      <c r="D20" s="15">
        <f t="shared" si="2"/>
        <v>116785.28689236629</v>
      </c>
      <c r="E20" s="15">
        <f t="shared" si="0"/>
        <v>8236.4270619164417</v>
      </c>
    </row>
    <row r="21" spans="1:7" x14ac:dyDescent="0.35">
      <c r="A21" s="14">
        <f t="shared" si="1"/>
        <v>7</v>
      </c>
      <c r="B21" s="15"/>
      <c r="C21" s="15">
        <f t="shared" si="3"/>
        <v>152031.92660064003</v>
      </c>
      <c r="D21" s="15">
        <f t="shared" si="2"/>
        <v>113448.56440972726</v>
      </c>
      <c r="E21" s="15">
        <f t="shared" si="0"/>
        <v>7844.2162494442291</v>
      </c>
    </row>
    <row r="22" spans="1:7" x14ac:dyDescent="0.35">
      <c r="A22" s="14">
        <f t="shared" si="1"/>
        <v>8</v>
      </c>
      <c r="B22" s="15"/>
      <c r="C22" s="15">
        <f t="shared" si="3"/>
        <v>155072.56513265285</v>
      </c>
      <c r="D22" s="15">
        <f t="shared" si="2"/>
        <v>110207.17685516362</v>
      </c>
      <c r="E22" s="15">
        <f t="shared" si="0"/>
        <v>7470.682142327837</v>
      </c>
    </row>
    <row r="23" spans="1:7" x14ac:dyDescent="0.35">
      <c r="A23" s="14">
        <f t="shared" si="1"/>
        <v>9</v>
      </c>
      <c r="B23" s="15"/>
      <c r="C23" s="15">
        <f t="shared" si="3"/>
        <v>158174.01643530591</v>
      </c>
      <c r="D23" s="15">
        <f t="shared" ref="D23:D24" si="4">C23/((1+$C$7)^(A23-1))</f>
        <v>107058.40037358753</v>
      </c>
      <c r="E23" s="15">
        <f t="shared" si="0"/>
        <v>7114.9353736455596</v>
      </c>
    </row>
    <row r="24" spans="1:7" x14ac:dyDescent="0.35">
      <c r="A24" s="14">
        <f t="shared" si="1"/>
        <v>10</v>
      </c>
      <c r="B24" s="14"/>
      <c r="C24" s="15">
        <f>C23*(1+$C$8)</f>
        <v>161337.49676401203</v>
      </c>
      <c r="D24" s="15">
        <f t="shared" si="4"/>
        <v>103999.58893434217</v>
      </c>
      <c r="E24" s="15">
        <f t="shared" si="0"/>
        <v>6776.1289272814847</v>
      </c>
    </row>
    <row r="25" spans="1:7" x14ac:dyDescent="0.35">
      <c r="C25" s="3"/>
      <c r="D25" s="3"/>
      <c r="E25" s="3"/>
    </row>
    <row r="26" spans="1:7" x14ac:dyDescent="0.35">
      <c r="A26" s="14" t="s">
        <v>19</v>
      </c>
      <c r="B26" s="15">
        <f>SUM(B15:B24)</f>
        <v>4500000</v>
      </c>
      <c r="C26" s="15">
        <f>SUM(C15:C24)</f>
        <v>1478212.3349646106</v>
      </c>
      <c r="D26" s="15">
        <f>SUM(D15:D24)</f>
        <v>1189013.9762323671</v>
      </c>
      <c r="E26" s="15">
        <f>SUM(E15:E24)</f>
        <v>85229.421454370298</v>
      </c>
      <c r="G26" t="s">
        <v>31</v>
      </c>
    </row>
    <row r="27" spans="1:7" x14ac:dyDescent="0.35">
      <c r="B27" s="3"/>
      <c r="C27" s="3"/>
      <c r="D27" s="3"/>
      <c r="E27" s="3"/>
    </row>
    <row r="28" spans="1:7" x14ac:dyDescent="0.35">
      <c r="A28" t="s">
        <v>20</v>
      </c>
      <c r="B28" s="2">
        <f>(B26+D26)/E26</f>
        <v>66.749414452826272</v>
      </c>
      <c r="C28" s="3" t="s">
        <v>22</v>
      </c>
      <c r="D28" s="3"/>
      <c r="E28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70CF-0444-4BEB-B5D2-4A7803984158}">
  <dimension ref="A1:L28"/>
  <sheetViews>
    <sheetView zoomScale="110" zoomScaleNormal="110" workbookViewId="0">
      <selection activeCell="G28" sqref="G28"/>
    </sheetView>
  </sheetViews>
  <sheetFormatPr defaultColWidth="10.90625" defaultRowHeight="14.5" x14ac:dyDescent="0.35"/>
  <cols>
    <col min="1" max="1" width="10.90625" style="6"/>
    <col min="2" max="2" width="12.90625" style="6" bestFit="1" customWidth="1"/>
    <col min="3" max="5" width="11" style="6" bestFit="1" customWidth="1"/>
    <col min="6" max="6" width="11.26953125" style="6" bestFit="1" customWidth="1"/>
    <col min="7" max="9" width="12.90625" style="6" bestFit="1" customWidth="1"/>
    <col min="10" max="16384" width="10.90625" style="6"/>
  </cols>
  <sheetData>
    <row r="1" spans="1:10" x14ac:dyDescent="0.35">
      <c r="A1" s="8" t="s">
        <v>39</v>
      </c>
    </row>
    <row r="2" spans="1:10" x14ac:dyDescent="0.35">
      <c r="F2" s="9" t="s">
        <v>49</v>
      </c>
    </row>
    <row r="3" spans="1:10" x14ac:dyDescent="0.35">
      <c r="A3" t="s">
        <v>1</v>
      </c>
      <c r="C3" s="6">
        <f>Base!C3</f>
        <v>1500000</v>
      </c>
      <c r="D3" t="s">
        <v>3</v>
      </c>
      <c r="F3" s="6" t="s">
        <v>41</v>
      </c>
      <c r="H3" s="6">
        <v>75</v>
      </c>
      <c r="I3" s="6" t="s">
        <v>22</v>
      </c>
    </row>
    <row r="4" spans="1:10" x14ac:dyDescent="0.35">
      <c r="A4" t="s">
        <v>2</v>
      </c>
      <c r="C4" s="6">
        <f>Base!C4</f>
        <v>45000</v>
      </c>
      <c r="D4" t="s">
        <v>3</v>
      </c>
      <c r="F4" s="6" t="s">
        <v>42</v>
      </c>
      <c r="H4" s="6">
        <v>0.02</v>
      </c>
      <c r="I4" s="6" t="s">
        <v>11</v>
      </c>
    </row>
    <row r="5" spans="1:10" x14ac:dyDescent="0.35">
      <c r="A5" t="s">
        <v>5</v>
      </c>
      <c r="C5" s="6">
        <f>Base!C5</f>
        <v>3</v>
      </c>
      <c r="D5" t="s">
        <v>4</v>
      </c>
    </row>
    <row r="6" spans="1:10" x14ac:dyDescent="0.35">
      <c r="A6" t="s">
        <v>6</v>
      </c>
      <c r="C6" s="6">
        <f>Base!C6</f>
        <v>0.4</v>
      </c>
      <c r="D6" t="s">
        <v>11</v>
      </c>
    </row>
    <row r="7" spans="1:10" x14ac:dyDescent="0.35">
      <c r="A7" t="s">
        <v>10</v>
      </c>
      <c r="C7" s="6">
        <v>0.1164</v>
      </c>
      <c r="D7" t="s">
        <v>11</v>
      </c>
      <c r="F7" s="9" t="s">
        <v>50</v>
      </c>
      <c r="J7" s="6" t="s">
        <v>51</v>
      </c>
    </row>
    <row r="8" spans="1:10" x14ac:dyDescent="0.35">
      <c r="A8" t="s">
        <v>12</v>
      </c>
      <c r="C8" s="6">
        <f>Base!C8</f>
        <v>0.02</v>
      </c>
      <c r="D8" t="s">
        <v>11</v>
      </c>
      <c r="G8" s="12" t="s">
        <v>56</v>
      </c>
      <c r="H8" s="10"/>
    </row>
    <row r="10" spans="1:10" x14ac:dyDescent="0.35">
      <c r="A10" s="6" t="s">
        <v>14</v>
      </c>
      <c r="B10" s="6" t="s">
        <v>40</v>
      </c>
      <c r="C10" s="6" t="s">
        <v>18</v>
      </c>
      <c r="D10" s="6" t="s">
        <v>9</v>
      </c>
      <c r="E10" s="6" t="s">
        <v>43</v>
      </c>
      <c r="F10" s="6" t="s">
        <v>44</v>
      </c>
      <c r="G10" s="6" t="s">
        <v>45</v>
      </c>
      <c r="H10" s="6" t="s">
        <v>46</v>
      </c>
      <c r="I10" s="6" t="s">
        <v>47</v>
      </c>
    </row>
    <row r="11" spans="1:10" x14ac:dyDescent="0.35">
      <c r="A11" s="6">
        <v>0</v>
      </c>
      <c r="H11" s="6">
        <v>0</v>
      </c>
      <c r="I11" s="6">
        <v>0</v>
      </c>
    </row>
    <row r="12" spans="1:10" x14ac:dyDescent="0.35">
      <c r="A12" s="6">
        <v>1</v>
      </c>
      <c r="B12" s="7">
        <f>-C3*C5</f>
        <v>-4500000</v>
      </c>
      <c r="C12" s="7">
        <f>-C4*C5</f>
        <v>-135000</v>
      </c>
      <c r="D12" s="7">
        <f>C$5*8760*C$6</f>
        <v>10512</v>
      </c>
      <c r="E12" s="7">
        <f>H$3</f>
        <v>75</v>
      </c>
      <c r="F12" s="7">
        <f>D12*E12</f>
        <v>788400</v>
      </c>
      <c r="G12" s="18">
        <f>B12+C12+F12</f>
        <v>-3846600</v>
      </c>
      <c r="H12" s="7">
        <f>G12/((1+$C$7)^(A12-1))</f>
        <v>-3846600</v>
      </c>
      <c r="I12" s="7">
        <f>I11+H12</f>
        <v>-3846600</v>
      </c>
    </row>
    <row r="13" spans="1:10" x14ac:dyDescent="0.35">
      <c r="A13" s="6">
        <f>A12+1</f>
        <v>2</v>
      </c>
      <c r="B13" s="7"/>
      <c r="C13" s="7">
        <f>C12*(1+C$8)</f>
        <v>-137700</v>
      </c>
      <c r="D13" s="7">
        <f t="shared" ref="D13:D26" si="0">C$5*8760*C$6</f>
        <v>10512</v>
      </c>
      <c r="E13" s="7">
        <f>E12*(1+H$4)</f>
        <v>76.5</v>
      </c>
      <c r="F13" s="7">
        <f t="shared" ref="F13:F26" si="1">D13*E13</f>
        <v>804168</v>
      </c>
      <c r="G13" s="18">
        <f t="shared" ref="G13:G26" si="2">B13+C13+F13</f>
        <v>666468</v>
      </c>
      <c r="H13" s="7">
        <f t="shared" ref="H13:H26" si="3">G13/((1+$C$7)^(A13-1))</f>
        <v>596979.5772124686</v>
      </c>
      <c r="I13" s="7">
        <f>I12+H13</f>
        <v>-3249620.4227875313</v>
      </c>
    </row>
    <row r="14" spans="1:10" x14ac:dyDescent="0.35">
      <c r="A14" s="6">
        <f t="shared" ref="A14:A26" si="4">A13+1</f>
        <v>3</v>
      </c>
      <c r="B14" s="7"/>
      <c r="C14" s="7">
        <f t="shared" ref="C14:C26" si="5">C13*(1+C$8)</f>
        <v>-140454</v>
      </c>
      <c r="D14" s="7">
        <f t="shared" si="0"/>
        <v>10512</v>
      </c>
      <c r="E14" s="7">
        <f t="shared" ref="E14:E26" si="6">E13*(1+H$4)</f>
        <v>78.03</v>
      </c>
      <c r="F14" s="7">
        <f t="shared" si="1"/>
        <v>820251.36</v>
      </c>
      <c r="G14" s="18">
        <f t="shared" si="2"/>
        <v>679797.36</v>
      </c>
      <c r="H14" s="7">
        <f t="shared" si="3"/>
        <v>545431.00031952525</v>
      </c>
      <c r="I14" s="7">
        <f t="shared" ref="I14:I25" si="7">I13+H14</f>
        <v>-2704189.4224680061</v>
      </c>
    </row>
    <row r="15" spans="1:10" x14ac:dyDescent="0.35">
      <c r="A15" s="6">
        <f t="shared" si="4"/>
        <v>4</v>
      </c>
      <c r="B15" s="7"/>
      <c r="C15" s="7">
        <f t="shared" si="5"/>
        <v>-143263.08000000002</v>
      </c>
      <c r="D15" s="7">
        <f t="shared" si="0"/>
        <v>10512</v>
      </c>
      <c r="E15" s="7">
        <f t="shared" si="6"/>
        <v>79.590600000000009</v>
      </c>
      <c r="F15" s="7">
        <f t="shared" si="1"/>
        <v>836656.38720000011</v>
      </c>
      <c r="G15" s="18">
        <f t="shared" si="2"/>
        <v>693393.30720000016</v>
      </c>
      <c r="H15" s="7">
        <f t="shared" si="3"/>
        <v>498333.59040300595</v>
      </c>
      <c r="I15" s="7">
        <f t="shared" si="7"/>
        <v>-2205855.8320650002</v>
      </c>
    </row>
    <row r="16" spans="1:10" x14ac:dyDescent="0.35">
      <c r="A16" s="6">
        <f t="shared" si="4"/>
        <v>5</v>
      </c>
      <c r="B16" s="7"/>
      <c r="C16" s="7">
        <f t="shared" si="5"/>
        <v>-146128.34160000001</v>
      </c>
      <c r="D16" s="7">
        <f t="shared" si="0"/>
        <v>10512</v>
      </c>
      <c r="E16" s="7">
        <f t="shared" si="6"/>
        <v>81.182412000000014</v>
      </c>
      <c r="F16" s="7">
        <f t="shared" si="1"/>
        <v>853389.51494400017</v>
      </c>
      <c r="G16" s="18">
        <f t="shared" si="2"/>
        <v>707261.17334400013</v>
      </c>
      <c r="H16" s="7">
        <f t="shared" si="3"/>
        <v>455302.99373975815</v>
      </c>
      <c r="I16" s="7">
        <f t="shared" si="7"/>
        <v>-1750552.838325242</v>
      </c>
    </row>
    <row r="17" spans="1:12" x14ac:dyDescent="0.35">
      <c r="A17" s="6">
        <f t="shared" si="4"/>
        <v>6</v>
      </c>
      <c r="B17" s="7"/>
      <c r="C17" s="7">
        <f t="shared" si="5"/>
        <v>-149050.90843200003</v>
      </c>
      <c r="D17" s="7">
        <f t="shared" si="0"/>
        <v>10512</v>
      </c>
      <c r="E17" s="7">
        <f t="shared" si="6"/>
        <v>82.806060240000022</v>
      </c>
      <c r="F17" s="7">
        <f t="shared" si="1"/>
        <v>870457.30524288025</v>
      </c>
      <c r="G17" s="18">
        <f t="shared" si="2"/>
        <v>721406.39681088016</v>
      </c>
      <c r="H17" s="7">
        <f t="shared" si="3"/>
        <v>415988.04515814519</v>
      </c>
      <c r="I17" s="7">
        <f t="shared" si="7"/>
        <v>-1334564.7931670968</v>
      </c>
    </row>
    <row r="18" spans="1:12" x14ac:dyDescent="0.35">
      <c r="A18" s="6">
        <f t="shared" si="4"/>
        <v>7</v>
      </c>
      <c r="B18" s="7"/>
      <c r="C18" s="7">
        <f t="shared" si="5"/>
        <v>-152031.92660064003</v>
      </c>
      <c r="D18" s="7">
        <f t="shared" si="0"/>
        <v>10512</v>
      </c>
      <c r="E18" s="7">
        <f t="shared" si="6"/>
        <v>84.462181444800024</v>
      </c>
      <c r="F18" s="7">
        <f t="shared" si="1"/>
        <v>887866.45134773781</v>
      </c>
      <c r="G18" s="18">
        <f t="shared" si="2"/>
        <v>735834.52474709775</v>
      </c>
      <c r="H18" s="7">
        <f t="shared" si="3"/>
        <v>380067.90224051237</v>
      </c>
      <c r="I18" s="7">
        <f t="shared" si="7"/>
        <v>-954496.89092658437</v>
      </c>
      <c r="K18" s="10"/>
    </row>
    <row r="19" spans="1:12" x14ac:dyDescent="0.35">
      <c r="A19" s="6">
        <f t="shared" si="4"/>
        <v>8</v>
      </c>
      <c r="B19" s="7"/>
      <c r="C19" s="7">
        <f t="shared" si="5"/>
        <v>-155072.56513265285</v>
      </c>
      <c r="D19" s="7">
        <f t="shared" si="0"/>
        <v>10512</v>
      </c>
      <c r="E19" s="7">
        <f t="shared" si="6"/>
        <v>86.151425073696032</v>
      </c>
      <c r="F19" s="7">
        <f t="shared" si="1"/>
        <v>905623.78037469264</v>
      </c>
      <c r="G19" s="18">
        <f t="shared" si="2"/>
        <v>750551.21524203976</v>
      </c>
      <c r="H19" s="7">
        <f t="shared" si="3"/>
        <v>347249.42698434496</v>
      </c>
      <c r="I19" s="7">
        <f t="shared" si="7"/>
        <v>-607247.46394223941</v>
      </c>
      <c r="K19" s="10" t="s">
        <v>56</v>
      </c>
      <c r="L19" s="10">
        <f>IRR(G12:G21)</f>
        <v>0.11639252979490866</v>
      </c>
    </row>
    <row r="20" spans="1:12" x14ac:dyDescent="0.35">
      <c r="A20" s="6">
        <f t="shared" si="4"/>
        <v>9</v>
      </c>
      <c r="B20" s="7"/>
      <c r="C20" s="7">
        <f t="shared" si="5"/>
        <v>-158174.01643530591</v>
      </c>
      <c r="D20" s="7">
        <f t="shared" si="0"/>
        <v>10512</v>
      </c>
      <c r="E20" s="7">
        <f t="shared" si="6"/>
        <v>87.874453575169952</v>
      </c>
      <c r="F20" s="7">
        <f t="shared" si="1"/>
        <v>923736.25598218653</v>
      </c>
      <c r="G20" s="18">
        <f t="shared" si="2"/>
        <v>765562.23954688059</v>
      </c>
      <c r="H20" s="7">
        <f t="shared" si="3"/>
        <v>317264.79355431016</v>
      </c>
      <c r="I20" s="7">
        <f t="shared" si="7"/>
        <v>-289982.67038792925</v>
      </c>
    </row>
    <row r="21" spans="1:12" x14ac:dyDescent="0.35">
      <c r="A21" s="6">
        <f t="shared" si="4"/>
        <v>10</v>
      </c>
      <c r="B21" s="7"/>
      <c r="C21" s="7">
        <f t="shared" si="5"/>
        <v>-161337.49676401203</v>
      </c>
      <c r="D21" s="7">
        <f t="shared" si="0"/>
        <v>10512</v>
      </c>
      <c r="E21" s="7">
        <f t="shared" si="6"/>
        <v>89.631942646673352</v>
      </c>
      <c r="F21" s="7">
        <f t="shared" si="1"/>
        <v>942210.98110183026</v>
      </c>
      <c r="G21" s="18">
        <f t="shared" si="2"/>
        <v>780873.48433781823</v>
      </c>
      <c r="H21" s="7">
        <f t="shared" si="3"/>
        <v>289869.30260246893</v>
      </c>
      <c r="I21" s="7">
        <f t="shared" si="7"/>
        <v>-113.36778546031564</v>
      </c>
    </row>
    <row r="22" spans="1:12" x14ac:dyDescent="0.35">
      <c r="A22" s="6">
        <f>A21+1</f>
        <v>11</v>
      </c>
      <c r="B22" s="7"/>
      <c r="C22" s="7">
        <f t="shared" si="5"/>
        <v>-164564.24669929227</v>
      </c>
      <c r="D22" s="7">
        <f t="shared" si="0"/>
        <v>10512</v>
      </c>
      <c r="E22" s="7">
        <f t="shared" si="6"/>
        <v>91.424581499606816</v>
      </c>
      <c r="F22" s="7">
        <f t="shared" si="1"/>
        <v>961055.20072386682</v>
      </c>
      <c r="G22" s="18">
        <f t="shared" si="2"/>
        <v>796490.95402457449</v>
      </c>
      <c r="H22" s="7">
        <f t="shared" si="3"/>
        <v>264839.38431970461</v>
      </c>
      <c r="I22" s="7">
        <f t="shared" si="7"/>
        <v>264726.01653424429</v>
      </c>
    </row>
    <row r="23" spans="1:12" x14ac:dyDescent="0.35">
      <c r="A23" s="6">
        <f t="shared" si="4"/>
        <v>12</v>
      </c>
      <c r="B23" s="7"/>
      <c r="C23" s="7">
        <f t="shared" si="5"/>
        <v>-167855.53163327812</v>
      </c>
      <c r="D23" s="7">
        <f t="shared" si="0"/>
        <v>10512</v>
      </c>
      <c r="E23" s="7">
        <f t="shared" si="6"/>
        <v>93.25307312959896</v>
      </c>
      <c r="F23" s="7">
        <f t="shared" si="1"/>
        <v>980276.30473834428</v>
      </c>
      <c r="G23" s="18">
        <f t="shared" si="2"/>
        <v>812420.77310506615</v>
      </c>
      <c r="H23" s="7">
        <f t="shared" si="3"/>
        <v>241970.77392162199</v>
      </c>
      <c r="I23" s="7">
        <f t="shared" si="7"/>
        <v>506696.79045586626</v>
      </c>
    </row>
    <row r="24" spans="1:12" x14ac:dyDescent="0.35">
      <c r="A24" s="6">
        <f t="shared" si="4"/>
        <v>13</v>
      </c>
      <c r="B24" s="7"/>
      <c r="C24" s="7">
        <f t="shared" si="5"/>
        <v>-171212.64226594369</v>
      </c>
      <c r="D24" s="7">
        <f t="shared" si="0"/>
        <v>10512</v>
      </c>
      <c r="E24" s="7">
        <f t="shared" si="6"/>
        <v>95.118134592190941</v>
      </c>
      <c r="F24" s="7">
        <f t="shared" si="1"/>
        <v>999881.83083311119</v>
      </c>
      <c r="G24" s="18">
        <f t="shared" si="2"/>
        <v>828669.1885671675</v>
      </c>
      <c r="H24" s="7">
        <f t="shared" si="3"/>
        <v>221076.84467937515</v>
      </c>
      <c r="I24" s="7">
        <f t="shared" si="7"/>
        <v>727773.63513524143</v>
      </c>
    </row>
    <row r="25" spans="1:12" x14ac:dyDescent="0.35">
      <c r="A25" s="6">
        <f t="shared" si="4"/>
        <v>14</v>
      </c>
      <c r="B25" s="7"/>
      <c r="C25" s="7">
        <f t="shared" si="5"/>
        <v>-174636.89511126257</v>
      </c>
      <c r="D25" s="7">
        <f t="shared" si="0"/>
        <v>10512</v>
      </c>
      <c r="E25" s="7">
        <f t="shared" si="6"/>
        <v>97.020497284034761</v>
      </c>
      <c r="F25" s="7">
        <f t="shared" si="1"/>
        <v>1019879.4674497735</v>
      </c>
      <c r="G25" s="18">
        <f t="shared" si="2"/>
        <v>845242.57233851089</v>
      </c>
      <c r="H25" s="7">
        <f t="shared" si="3"/>
        <v>201987.08489158246</v>
      </c>
      <c r="I25" s="7">
        <f t="shared" si="7"/>
        <v>929760.72002682392</v>
      </c>
    </row>
    <row r="26" spans="1:12" x14ac:dyDescent="0.35">
      <c r="A26" s="6">
        <f t="shared" si="4"/>
        <v>15</v>
      </c>
      <c r="B26" s="7"/>
      <c r="C26" s="7">
        <f t="shared" si="5"/>
        <v>-178129.63301348782</v>
      </c>
      <c r="D26" s="7">
        <f t="shared" si="0"/>
        <v>10512</v>
      </c>
      <c r="E26" s="7">
        <f t="shared" si="6"/>
        <v>98.96090722971546</v>
      </c>
      <c r="F26" s="7">
        <f t="shared" si="1"/>
        <v>1040277.0567987689</v>
      </c>
      <c r="G26" s="18">
        <f t="shared" si="2"/>
        <v>862147.42378528113</v>
      </c>
      <c r="H26" s="7">
        <f t="shared" si="3"/>
        <v>184545.70636816023</v>
      </c>
      <c r="I26" s="7">
        <f>I25+H26</f>
        <v>1114306.4263949841</v>
      </c>
    </row>
    <row r="28" spans="1:12" ht="72.5" x14ac:dyDescent="0.35">
      <c r="G28" s="19" t="s">
        <v>59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8DFA-2E4F-4A28-AB06-AE321D3553AD}">
  <dimension ref="A1:C13"/>
  <sheetViews>
    <sheetView workbookViewId="0">
      <selection activeCell="C3" sqref="C3"/>
    </sheetView>
  </sheetViews>
  <sheetFormatPr defaultColWidth="10.90625" defaultRowHeight="14.5" x14ac:dyDescent="0.35"/>
  <sheetData>
    <row r="1" spans="1:3" x14ac:dyDescent="0.35">
      <c r="A1" t="s">
        <v>33</v>
      </c>
      <c r="B1" t="s">
        <v>38</v>
      </c>
      <c r="C1" t="s">
        <v>20</v>
      </c>
    </row>
    <row r="3" spans="1:3" x14ac:dyDescent="0.35">
      <c r="A3">
        <v>1000000</v>
      </c>
      <c r="B3" s="2">
        <f>100*(A3-$A$8)/$A$8+100</f>
        <v>66.666666666666657</v>
      </c>
      <c r="C3">
        <v>49.15</v>
      </c>
    </row>
    <row r="4" spans="1:3" x14ac:dyDescent="0.35">
      <c r="A4">
        <f>A3+100000</f>
        <v>1100000</v>
      </c>
      <c r="B4" s="2">
        <f>100*(A4-$A$8)/$A$8+100</f>
        <v>73.333333333333329</v>
      </c>
      <c r="C4">
        <v>52.67</v>
      </c>
    </row>
    <row r="5" spans="1:3" x14ac:dyDescent="0.35">
      <c r="A5">
        <f t="shared" ref="A5:A13" si="0">A4+100000</f>
        <v>1200000</v>
      </c>
      <c r="B5" s="2">
        <f>100*(A5-$A$8)/$A$8+100</f>
        <v>80</v>
      </c>
      <c r="C5">
        <v>56.19</v>
      </c>
    </row>
    <row r="6" spans="1:3" x14ac:dyDescent="0.35">
      <c r="A6">
        <f t="shared" si="0"/>
        <v>1300000</v>
      </c>
      <c r="B6" s="2">
        <f>100*(A6-$A$8)/$A$8+100</f>
        <v>86.666666666666671</v>
      </c>
      <c r="C6">
        <v>59.71</v>
      </c>
    </row>
    <row r="7" spans="1:3" x14ac:dyDescent="0.35">
      <c r="A7">
        <f t="shared" si="0"/>
        <v>1400000</v>
      </c>
      <c r="B7" s="2">
        <f t="shared" ref="B7:B12" si="1">100*(A7-$A$8)/$A$8+100</f>
        <v>93.333333333333329</v>
      </c>
      <c r="C7">
        <v>63.23</v>
      </c>
    </row>
    <row r="8" spans="1:3" x14ac:dyDescent="0.35">
      <c r="A8">
        <f t="shared" si="0"/>
        <v>1500000</v>
      </c>
      <c r="B8" s="2">
        <f>100*(A8-$A$8)/$A$8+100</f>
        <v>100</v>
      </c>
      <c r="C8">
        <v>66.75</v>
      </c>
    </row>
    <row r="9" spans="1:3" x14ac:dyDescent="0.35">
      <c r="A9">
        <f t="shared" si="0"/>
        <v>1600000</v>
      </c>
      <c r="B9" s="2">
        <f t="shared" si="1"/>
        <v>106.66666666666667</v>
      </c>
      <c r="C9">
        <v>70.27</v>
      </c>
    </row>
    <row r="10" spans="1:3" x14ac:dyDescent="0.35">
      <c r="A10">
        <f>A9+100000</f>
        <v>1700000</v>
      </c>
      <c r="B10" s="2">
        <f t="shared" si="1"/>
        <v>113.33333333333333</v>
      </c>
      <c r="C10">
        <v>73.790000000000006</v>
      </c>
    </row>
    <row r="11" spans="1:3" x14ac:dyDescent="0.35">
      <c r="A11">
        <f t="shared" si="0"/>
        <v>1800000</v>
      </c>
      <c r="B11" s="2">
        <f t="shared" si="1"/>
        <v>120</v>
      </c>
      <c r="C11">
        <v>77.31</v>
      </c>
    </row>
    <row r="12" spans="1:3" x14ac:dyDescent="0.35">
      <c r="A12">
        <f t="shared" si="0"/>
        <v>1900000</v>
      </c>
      <c r="B12" s="2">
        <f t="shared" si="1"/>
        <v>126.66666666666667</v>
      </c>
      <c r="C12">
        <v>80.83</v>
      </c>
    </row>
    <row r="13" spans="1:3" x14ac:dyDescent="0.35">
      <c r="A13">
        <f t="shared" si="0"/>
        <v>2000000</v>
      </c>
      <c r="B13" s="2">
        <f>100*(A13-$A$8)/$A$8+100</f>
        <v>133.33333333333334</v>
      </c>
      <c r="C13">
        <v>84.35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32CF-F981-490E-9642-FC8032DE2B03}">
  <dimension ref="A1:C13"/>
  <sheetViews>
    <sheetView workbookViewId="0">
      <selection activeCell="B4" sqref="B4"/>
    </sheetView>
  </sheetViews>
  <sheetFormatPr defaultColWidth="10.90625" defaultRowHeight="14.5" x14ac:dyDescent="0.35"/>
  <sheetData>
    <row r="1" spans="1:3" x14ac:dyDescent="0.35">
      <c r="A1" t="s">
        <v>18</v>
      </c>
      <c r="B1" t="s">
        <v>38</v>
      </c>
      <c r="C1" t="s">
        <v>20</v>
      </c>
    </row>
    <row r="3" spans="1:3" x14ac:dyDescent="0.35">
      <c r="B3" s="2"/>
    </row>
    <row r="4" spans="1:3" x14ac:dyDescent="0.35">
      <c r="A4">
        <v>30000</v>
      </c>
      <c r="B4" s="2">
        <f>100*(A4-$A$7)/$A$7+100</f>
        <v>66.666666666666657</v>
      </c>
      <c r="C4">
        <v>62.1</v>
      </c>
    </row>
    <row r="5" spans="1:3" x14ac:dyDescent="0.35">
      <c r="A5">
        <v>35000</v>
      </c>
      <c r="B5" s="2">
        <f t="shared" ref="B5:B10" si="0">100*(A5-$A$7)/$A$7+100</f>
        <v>77.777777777777771</v>
      </c>
      <c r="C5">
        <v>63.65</v>
      </c>
    </row>
    <row r="6" spans="1:3" x14ac:dyDescent="0.35">
      <c r="A6">
        <v>40000</v>
      </c>
      <c r="B6" s="2">
        <f t="shared" si="0"/>
        <v>88.888888888888886</v>
      </c>
      <c r="C6">
        <v>65.2</v>
      </c>
    </row>
    <row r="7" spans="1:3" x14ac:dyDescent="0.35">
      <c r="A7">
        <v>45000</v>
      </c>
      <c r="B7" s="2">
        <f t="shared" si="0"/>
        <v>100</v>
      </c>
      <c r="C7">
        <v>66.75</v>
      </c>
    </row>
    <row r="8" spans="1:3" x14ac:dyDescent="0.35">
      <c r="A8">
        <v>50000</v>
      </c>
      <c r="B8" s="2">
        <f t="shared" si="0"/>
        <v>111.11111111111111</v>
      </c>
      <c r="C8">
        <v>68.3</v>
      </c>
    </row>
    <row r="9" spans="1:3" x14ac:dyDescent="0.35">
      <c r="A9">
        <v>55000</v>
      </c>
      <c r="B9" s="2">
        <f t="shared" si="0"/>
        <v>122.22222222222223</v>
      </c>
      <c r="C9">
        <v>69.849999999999994</v>
      </c>
    </row>
    <row r="10" spans="1:3" x14ac:dyDescent="0.35">
      <c r="A10">
        <v>60000</v>
      </c>
      <c r="B10" s="2">
        <f t="shared" si="0"/>
        <v>133.33333333333334</v>
      </c>
      <c r="C10">
        <v>71.400000000000006</v>
      </c>
    </row>
    <row r="11" spans="1:3" x14ac:dyDescent="0.35">
      <c r="B11" s="2"/>
    </row>
    <row r="12" spans="1:3" x14ac:dyDescent="0.35">
      <c r="B12" s="2"/>
    </row>
    <row r="13" spans="1:3" x14ac:dyDescent="0.35">
      <c r="B1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EBD8-BC7B-40F9-B3E1-94236B0CE385}">
  <dimension ref="A1:C13"/>
  <sheetViews>
    <sheetView workbookViewId="0">
      <selection activeCell="B12" sqref="B12"/>
    </sheetView>
  </sheetViews>
  <sheetFormatPr defaultColWidth="10.90625" defaultRowHeight="14.5" x14ac:dyDescent="0.35"/>
  <sheetData>
    <row r="1" spans="1:3" x14ac:dyDescent="0.35">
      <c r="A1" t="s">
        <v>34</v>
      </c>
      <c r="B1" t="s">
        <v>38</v>
      </c>
      <c r="C1" t="s">
        <v>20</v>
      </c>
    </row>
    <row r="3" spans="1:3" s="4" customFormat="1" x14ac:dyDescent="0.35">
      <c r="A3" s="4">
        <v>0.1</v>
      </c>
      <c r="B3" s="5">
        <f>100*(A3-$A$6)/$A$6+100</f>
        <v>25</v>
      </c>
      <c r="C3" s="4">
        <v>267</v>
      </c>
    </row>
    <row r="4" spans="1:3" x14ac:dyDescent="0.35">
      <c r="A4">
        <v>0.2</v>
      </c>
      <c r="B4" s="2">
        <f t="shared" ref="B4:B9" si="0">100*(A4-$A$6)/$A$6+100</f>
        <v>50</v>
      </c>
      <c r="C4">
        <v>133.5</v>
      </c>
    </row>
    <row r="5" spans="1:3" x14ac:dyDescent="0.35">
      <c r="A5">
        <v>0.3</v>
      </c>
      <c r="B5" s="2">
        <f t="shared" si="0"/>
        <v>75</v>
      </c>
      <c r="C5">
        <v>89</v>
      </c>
    </row>
    <row r="6" spans="1:3" x14ac:dyDescent="0.35">
      <c r="A6">
        <v>0.4</v>
      </c>
      <c r="B6" s="2">
        <f>100*(A6-$A$6)/$A$6+100</f>
        <v>100</v>
      </c>
      <c r="C6">
        <v>66.75</v>
      </c>
    </row>
    <row r="7" spans="1:3" x14ac:dyDescent="0.35">
      <c r="A7">
        <v>0.5</v>
      </c>
      <c r="B7" s="2">
        <f t="shared" si="0"/>
        <v>125</v>
      </c>
      <c r="C7">
        <v>53.4</v>
      </c>
    </row>
    <row r="8" spans="1:3" x14ac:dyDescent="0.35">
      <c r="A8">
        <v>0.6</v>
      </c>
      <c r="B8" s="2">
        <f t="shared" si="0"/>
        <v>150</v>
      </c>
      <c r="C8">
        <v>44.5</v>
      </c>
    </row>
    <row r="9" spans="1:3" x14ac:dyDescent="0.35">
      <c r="A9">
        <v>0.7</v>
      </c>
      <c r="B9" s="2">
        <f t="shared" si="0"/>
        <v>174.99999999999997</v>
      </c>
      <c r="C9">
        <v>38.14</v>
      </c>
    </row>
    <row r="10" spans="1:3" x14ac:dyDescent="0.35">
      <c r="B10" s="2"/>
    </row>
    <row r="11" spans="1:3" x14ac:dyDescent="0.35">
      <c r="B11" s="2"/>
    </row>
    <row r="12" spans="1:3" x14ac:dyDescent="0.35">
      <c r="B12" s="2"/>
    </row>
    <row r="13" spans="1:3" x14ac:dyDescent="0.35">
      <c r="B1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164C-83FD-4C1C-8B23-4AF575E76BB6}">
  <dimension ref="A1:C13"/>
  <sheetViews>
    <sheetView workbookViewId="0">
      <selection activeCell="A6" sqref="A6"/>
    </sheetView>
  </sheetViews>
  <sheetFormatPr defaultColWidth="10.90625" defaultRowHeight="14.5" x14ac:dyDescent="0.35"/>
  <sheetData>
    <row r="1" spans="1:3" x14ac:dyDescent="0.35">
      <c r="A1" t="s">
        <v>35</v>
      </c>
      <c r="B1" t="s">
        <v>38</v>
      </c>
      <c r="C1" t="s">
        <v>20</v>
      </c>
    </row>
    <row r="3" spans="1:3" x14ac:dyDescent="0.35">
      <c r="A3">
        <v>0.02</v>
      </c>
      <c r="B3" s="2">
        <f>100*(A3-$A$6)/$A$6+100</f>
        <v>39.999999999999993</v>
      </c>
      <c r="C3">
        <v>60.74</v>
      </c>
    </row>
    <row r="4" spans="1:3" x14ac:dyDescent="0.35">
      <c r="A4">
        <v>0.03</v>
      </c>
      <c r="B4" s="2">
        <f t="shared" ref="B4:B10" si="0">100*(A4-$A$6)/$A$6+100</f>
        <v>59.999999999999993</v>
      </c>
      <c r="C4">
        <v>62.72</v>
      </c>
    </row>
    <row r="5" spans="1:3" x14ac:dyDescent="0.35">
      <c r="A5">
        <v>0.04</v>
      </c>
      <c r="B5" s="2">
        <f t="shared" si="0"/>
        <v>80</v>
      </c>
      <c r="C5">
        <v>64.72</v>
      </c>
    </row>
    <row r="6" spans="1:3" x14ac:dyDescent="0.35">
      <c r="A6">
        <v>0.05</v>
      </c>
      <c r="B6" s="2">
        <f t="shared" si="0"/>
        <v>100</v>
      </c>
      <c r="C6">
        <v>66.75</v>
      </c>
    </row>
    <row r="7" spans="1:3" x14ac:dyDescent="0.35">
      <c r="A7">
        <v>0.06</v>
      </c>
      <c r="B7" s="2">
        <f t="shared" si="0"/>
        <v>119.99999999999999</v>
      </c>
      <c r="C7">
        <v>68.8</v>
      </c>
    </row>
    <row r="8" spans="1:3" x14ac:dyDescent="0.35">
      <c r="A8">
        <v>7.0000000000000007E-2</v>
      </c>
      <c r="B8" s="2">
        <f t="shared" si="0"/>
        <v>140</v>
      </c>
      <c r="C8">
        <v>70.87</v>
      </c>
    </row>
    <row r="9" spans="1:3" x14ac:dyDescent="0.35">
      <c r="A9">
        <v>0.08</v>
      </c>
      <c r="B9" s="2">
        <f t="shared" si="0"/>
        <v>160</v>
      </c>
      <c r="C9">
        <v>72.959999999999994</v>
      </c>
    </row>
    <row r="10" spans="1:3" x14ac:dyDescent="0.35">
      <c r="A10">
        <v>0.09</v>
      </c>
      <c r="B10" s="2">
        <f t="shared" si="0"/>
        <v>180</v>
      </c>
      <c r="C10">
        <v>75.06</v>
      </c>
    </row>
    <row r="11" spans="1:3" x14ac:dyDescent="0.35">
      <c r="B11" s="2"/>
    </row>
    <row r="12" spans="1:3" x14ac:dyDescent="0.35">
      <c r="B12" s="2"/>
    </row>
    <row r="13" spans="1:3" x14ac:dyDescent="0.35">
      <c r="B13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1A4D-61B7-4571-BFB7-28E28CC82DC1}">
  <dimension ref="A1:C13"/>
  <sheetViews>
    <sheetView workbookViewId="0">
      <selection activeCell="C7" sqref="C7"/>
    </sheetView>
  </sheetViews>
  <sheetFormatPr defaultColWidth="10.90625" defaultRowHeight="14.5" x14ac:dyDescent="0.35"/>
  <cols>
    <col min="1" max="1" width="14.08984375" customWidth="1"/>
    <col min="2" max="2" width="15.1796875" customWidth="1"/>
    <col min="3" max="3" width="12.453125" customWidth="1"/>
  </cols>
  <sheetData>
    <row r="1" spans="1:3" x14ac:dyDescent="0.35">
      <c r="A1" s="14" t="s">
        <v>36</v>
      </c>
      <c r="B1" s="14" t="s">
        <v>38</v>
      </c>
      <c r="C1" s="14" t="s">
        <v>20</v>
      </c>
    </row>
    <row r="3" spans="1:3" x14ac:dyDescent="0.35">
      <c r="A3" s="14">
        <v>0</v>
      </c>
      <c r="B3" s="16">
        <f>100*(A3-$A$5)/$A$5+100</f>
        <v>0</v>
      </c>
      <c r="C3" s="14">
        <v>65.64</v>
      </c>
    </row>
    <row r="4" spans="1:3" x14ac:dyDescent="0.35">
      <c r="A4" s="14">
        <v>0.01</v>
      </c>
      <c r="B4" s="16">
        <f t="shared" ref="B4:B7" si="0">100*(A4-$A$5)/$A$5+100</f>
        <v>50</v>
      </c>
      <c r="C4" s="14">
        <v>66.180000000000007</v>
      </c>
    </row>
    <row r="5" spans="1:3" x14ac:dyDescent="0.35">
      <c r="A5" s="14">
        <v>0.02</v>
      </c>
      <c r="B5" s="16">
        <f t="shared" si="0"/>
        <v>100</v>
      </c>
      <c r="C5" s="14">
        <v>66.75</v>
      </c>
    </row>
    <row r="6" spans="1:3" x14ac:dyDescent="0.35">
      <c r="A6" s="14">
        <v>0.03</v>
      </c>
      <c r="B6" s="16">
        <f t="shared" si="0"/>
        <v>150</v>
      </c>
      <c r="C6" s="14">
        <v>67.349999999999994</v>
      </c>
    </row>
    <row r="7" spans="1:3" x14ac:dyDescent="0.35">
      <c r="A7" s="14">
        <v>0.04</v>
      </c>
      <c r="B7" s="16">
        <f t="shared" si="0"/>
        <v>200</v>
      </c>
      <c r="C7" s="14">
        <v>67.98</v>
      </c>
    </row>
    <row r="8" spans="1:3" x14ac:dyDescent="0.35">
      <c r="B8" s="2"/>
    </row>
    <row r="9" spans="1:3" x14ac:dyDescent="0.35">
      <c r="B9" s="2"/>
    </row>
    <row r="10" spans="1:3" x14ac:dyDescent="0.35">
      <c r="B10" s="2"/>
    </row>
    <row r="11" spans="1:3" x14ac:dyDescent="0.35">
      <c r="B11" s="2"/>
    </row>
    <row r="12" spans="1:3" x14ac:dyDescent="0.35">
      <c r="B12" s="2"/>
    </row>
    <row r="13" spans="1:3" x14ac:dyDescent="0.35">
      <c r="B13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D9BA-F354-405F-B1BD-40585F3A9D07}">
  <dimension ref="A1:C13"/>
  <sheetViews>
    <sheetView workbookViewId="0">
      <selection activeCell="O10" sqref="O10"/>
    </sheetView>
  </sheetViews>
  <sheetFormatPr defaultColWidth="10.90625" defaultRowHeight="14.5" x14ac:dyDescent="0.35"/>
  <sheetData>
    <row r="1" spans="1:3" x14ac:dyDescent="0.35">
      <c r="A1" s="14" t="s">
        <v>37</v>
      </c>
      <c r="B1" s="14" t="s">
        <v>38</v>
      </c>
      <c r="C1" s="14" t="s">
        <v>20</v>
      </c>
    </row>
    <row r="2" spans="1:3" x14ac:dyDescent="0.35">
      <c r="A2" s="14" t="s">
        <v>58</v>
      </c>
    </row>
    <row r="3" spans="1:3" x14ac:dyDescent="0.35">
      <c r="A3" s="14">
        <v>8</v>
      </c>
      <c r="B3" s="16">
        <f>100*(A3-$A$5)/$A$5+100</f>
        <v>80</v>
      </c>
      <c r="C3" s="14">
        <v>76.790000000000006</v>
      </c>
    </row>
    <row r="4" spans="1:3" x14ac:dyDescent="0.35">
      <c r="A4" s="14">
        <v>9</v>
      </c>
      <c r="B4" s="16">
        <f t="shared" ref="B4:B10" si="0">100*(A4-$A$5)/$A$5+100</f>
        <v>90</v>
      </c>
      <c r="C4" s="14">
        <v>71.19</v>
      </c>
    </row>
    <row r="5" spans="1:3" x14ac:dyDescent="0.35">
      <c r="A5" s="14">
        <v>10</v>
      </c>
      <c r="B5" s="16">
        <f t="shared" si="0"/>
        <v>100</v>
      </c>
      <c r="C5" s="14">
        <v>66.75</v>
      </c>
    </row>
    <row r="6" spans="1:3" x14ac:dyDescent="0.35">
      <c r="A6" s="14">
        <v>11</v>
      </c>
      <c r="B6" s="16">
        <f t="shared" si="0"/>
        <v>110</v>
      </c>
      <c r="C6" s="14">
        <v>63.15</v>
      </c>
    </row>
    <row r="7" spans="1:3" x14ac:dyDescent="0.35">
      <c r="A7" s="14">
        <v>12</v>
      </c>
      <c r="B7" s="16">
        <f t="shared" si="0"/>
        <v>120</v>
      </c>
      <c r="C7" s="14">
        <v>60.19</v>
      </c>
    </row>
    <row r="8" spans="1:3" x14ac:dyDescent="0.35">
      <c r="A8" s="14">
        <v>13</v>
      </c>
      <c r="B8" s="16">
        <f t="shared" si="0"/>
        <v>130</v>
      </c>
      <c r="C8" s="14">
        <v>57.71</v>
      </c>
    </row>
    <row r="9" spans="1:3" x14ac:dyDescent="0.35">
      <c r="A9" s="14">
        <v>14</v>
      </c>
      <c r="B9" s="16">
        <f t="shared" si="0"/>
        <v>140</v>
      </c>
      <c r="C9" s="14">
        <v>55.61</v>
      </c>
    </row>
    <row r="10" spans="1:3" x14ac:dyDescent="0.35">
      <c r="A10" s="14">
        <v>15</v>
      </c>
      <c r="B10" s="16">
        <f t="shared" si="0"/>
        <v>150</v>
      </c>
      <c r="C10" s="14">
        <v>53.82</v>
      </c>
    </row>
    <row r="11" spans="1:3" x14ac:dyDescent="0.35">
      <c r="B11" s="2"/>
    </row>
    <row r="12" spans="1:3" x14ac:dyDescent="0.35">
      <c r="B12" s="2"/>
    </row>
    <row r="13" spans="1:3" x14ac:dyDescent="0.35">
      <c r="B13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25F6-3814-44D7-B239-789838FE8FA2}">
  <dimension ref="A1"/>
  <sheetViews>
    <sheetView workbookViewId="0">
      <selection activeCell="L15" sqref="L15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363E-B30C-42C1-83BF-263E201F223A}">
  <dimension ref="A1:K26"/>
  <sheetViews>
    <sheetView zoomScale="90" zoomScaleNormal="90" workbookViewId="0">
      <selection activeCell="A4" sqref="A4"/>
    </sheetView>
  </sheetViews>
  <sheetFormatPr defaultColWidth="10.90625" defaultRowHeight="14.5" x14ac:dyDescent="0.35"/>
  <cols>
    <col min="1" max="1" width="10.90625" style="6"/>
    <col min="2" max="2" width="12.90625" style="6" bestFit="1" customWidth="1"/>
    <col min="3" max="5" width="11" style="6" bestFit="1" customWidth="1"/>
    <col min="6" max="6" width="11.26953125" style="6" bestFit="1" customWidth="1"/>
    <col min="7" max="9" width="12.90625" style="6" bestFit="1" customWidth="1"/>
    <col min="10" max="16384" width="10.90625" style="6"/>
  </cols>
  <sheetData>
    <row r="1" spans="1:11" x14ac:dyDescent="0.35">
      <c r="A1" s="8" t="s">
        <v>39</v>
      </c>
    </row>
    <row r="3" spans="1:11" x14ac:dyDescent="0.35">
      <c r="A3" t="s">
        <v>1</v>
      </c>
      <c r="C3" s="6">
        <f>Base!C3</f>
        <v>1500000</v>
      </c>
      <c r="D3" t="s">
        <v>3</v>
      </c>
      <c r="F3" s="6" t="s">
        <v>41</v>
      </c>
      <c r="H3" s="6">
        <v>66.75</v>
      </c>
      <c r="I3" s="6" t="s">
        <v>22</v>
      </c>
    </row>
    <row r="4" spans="1:11" x14ac:dyDescent="0.35">
      <c r="A4" t="s">
        <v>2</v>
      </c>
      <c r="C4" s="6">
        <f>Base!C4</f>
        <v>45000</v>
      </c>
      <c r="D4" t="s">
        <v>3</v>
      </c>
      <c r="F4" s="6" t="s">
        <v>42</v>
      </c>
      <c r="H4" s="6">
        <v>0</v>
      </c>
      <c r="I4" s="6" t="s">
        <v>11</v>
      </c>
      <c r="K4" s="6" t="s">
        <v>48</v>
      </c>
    </row>
    <row r="5" spans="1:11" x14ac:dyDescent="0.35">
      <c r="A5" t="s">
        <v>5</v>
      </c>
      <c r="C5" s="6">
        <f>Base!C5</f>
        <v>3</v>
      </c>
      <c r="D5" t="s">
        <v>4</v>
      </c>
    </row>
    <row r="6" spans="1:11" x14ac:dyDescent="0.35">
      <c r="A6" t="s">
        <v>6</v>
      </c>
      <c r="C6" s="6">
        <f>Base!C6</f>
        <v>0.4</v>
      </c>
      <c r="D6" t="s">
        <v>11</v>
      </c>
    </row>
    <row r="7" spans="1:11" x14ac:dyDescent="0.35">
      <c r="A7" t="s">
        <v>10</v>
      </c>
      <c r="C7" s="6">
        <f>Base!C7</f>
        <v>0.05</v>
      </c>
      <c r="D7" t="s">
        <v>11</v>
      </c>
      <c r="G7" s="6" t="s">
        <v>55</v>
      </c>
      <c r="H7" s="6" t="s">
        <v>56</v>
      </c>
      <c r="I7" s="10">
        <f>IRR(H12:H26)</f>
        <v>5.2658860154026321E-2</v>
      </c>
    </row>
    <row r="8" spans="1:11" x14ac:dyDescent="0.35">
      <c r="A8" t="s">
        <v>12</v>
      </c>
      <c r="C8" s="6">
        <f>Base!C8</f>
        <v>0.02</v>
      </c>
      <c r="D8" t="s">
        <v>11</v>
      </c>
      <c r="I8" s="11"/>
    </row>
    <row r="10" spans="1:11" x14ac:dyDescent="0.35">
      <c r="A10" s="6" t="s">
        <v>14</v>
      </c>
      <c r="B10" s="6" t="s">
        <v>40</v>
      </c>
      <c r="C10" s="6" t="s">
        <v>18</v>
      </c>
      <c r="D10" s="6" t="s">
        <v>9</v>
      </c>
      <c r="E10" s="6" t="s">
        <v>43</v>
      </c>
      <c r="F10" s="6" t="s">
        <v>44</v>
      </c>
      <c r="G10" s="6" t="s">
        <v>45</v>
      </c>
      <c r="H10" s="6" t="s">
        <v>46</v>
      </c>
      <c r="I10" s="6" t="s">
        <v>47</v>
      </c>
    </row>
    <row r="11" spans="1:11" x14ac:dyDescent="0.35">
      <c r="A11" s="14">
        <v>0</v>
      </c>
      <c r="H11" s="6">
        <v>0</v>
      </c>
      <c r="I11" s="6">
        <v>0</v>
      </c>
    </row>
    <row r="12" spans="1:11" x14ac:dyDescent="0.35">
      <c r="A12" s="14">
        <v>1</v>
      </c>
      <c r="B12" s="7">
        <f>-C3*C5</f>
        <v>-4500000</v>
      </c>
      <c r="C12" s="7">
        <f>-C4*C5</f>
        <v>-135000</v>
      </c>
      <c r="D12" s="7">
        <f>C$5*8760*C$6</f>
        <v>10512</v>
      </c>
      <c r="E12" s="17">
        <f>H$3</f>
        <v>66.75</v>
      </c>
      <c r="F12" s="7">
        <f>D12*E12</f>
        <v>701676</v>
      </c>
      <c r="G12" s="7">
        <f>B12+C12+F12</f>
        <v>-3933324</v>
      </c>
      <c r="H12" s="7">
        <f>G12/((1+$C$7)^(A12-1))</f>
        <v>-3933324</v>
      </c>
      <c r="I12" s="7">
        <f>I11+H12</f>
        <v>-3933324</v>
      </c>
    </row>
    <row r="13" spans="1:11" x14ac:dyDescent="0.35">
      <c r="A13" s="14">
        <f>A12+1</f>
        <v>2</v>
      </c>
      <c r="B13" s="7"/>
      <c r="C13" s="7">
        <f>C12*(1+C$8)</f>
        <v>-137700</v>
      </c>
      <c r="D13" s="7">
        <f t="shared" ref="D13:D26" si="0">C$5*8760*C$6</f>
        <v>10512</v>
      </c>
      <c r="E13" s="17">
        <f>E12*(1+H$4)</f>
        <v>66.75</v>
      </c>
      <c r="F13" s="7">
        <f t="shared" ref="F13:F26" si="1">D13*E13</f>
        <v>701676</v>
      </c>
      <c r="G13" s="7">
        <f>B13+C13+F13</f>
        <v>563976</v>
      </c>
      <c r="H13" s="7">
        <f>G13/((1+$C$7)^(A13-1))</f>
        <v>537120</v>
      </c>
      <c r="I13" s="7">
        <f>I12+H13</f>
        <v>-3396204</v>
      </c>
    </row>
    <row r="14" spans="1:11" x14ac:dyDescent="0.35">
      <c r="A14" s="14">
        <f t="shared" ref="A14:A26" si="2">A13+1</f>
        <v>3</v>
      </c>
      <c r="B14" s="7"/>
      <c r="C14" s="7">
        <f>C13*(1+C$8)</f>
        <v>-140454</v>
      </c>
      <c r="D14" s="7">
        <f t="shared" si="0"/>
        <v>10512</v>
      </c>
      <c r="E14" s="17">
        <f t="shared" ref="E14:E26" si="3">E13*(1+H$4)</f>
        <v>66.75</v>
      </c>
      <c r="F14" s="7">
        <f t="shared" si="1"/>
        <v>701676</v>
      </c>
      <c r="G14" s="7">
        <f>B14+C14+F14</f>
        <v>561222</v>
      </c>
      <c r="H14" s="7">
        <f t="shared" ref="H14:H26" si="4">G14/((1+$C$7)^(A14-1))</f>
        <v>509044.89795918367</v>
      </c>
      <c r="I14" s="7">
        <f>I13+H14</f>
        <v>-2887159.1020408161</v>
      </c>
    </row>
    <row r="15" spans="1:11" x14ac:dyDescent="0.35">
      <c r="A15" s="14">
        <f t="shared" si="2"/>
        <v>4</v>
      </c>
      <c r="B15" s="7"/>
      <c r="C15" s="7">
        <f t="shared" ref="C15:C26" si="5">C14*(1+C$8)</f>
        <v>-143263.08000000002</v>
      </c>
      <c r="D15" s="7">
        <f t="shared" si="0"/>
        <v>10512</v>
      </c>
      <c r="E15" s="17">
        <f t="shared" si="3"/>
        <v>66.75</v>
      </c>
      <c r="F15" s="7">
        <f t="shared" si="1"/>
        <v>701676</v>
      </c>
      <c r="G15" s="7">
        <f t="shared" ref="G15:G26" si="6">B15+C15+F15</f>
        <v>558412.91999999993</v>
      </c>
      <c r="H15" s="7">
        <f t="shared" si="4"/>
        <v>482378.07580174913</v>
      </c>
      <c r="I15" s="7">
        <f t="shared" ref="I15:I25" si="7">I14+H15</f>
        <v>-2404781.0262390669</v>
      </c>
    </row>
    <row r="16" spans="1:11" x14ac:dyDescent="0.35">
      <c r="A16" s="14">
        <f t="shared" si="2"/>
        <v>5</v>
      </c>
      <c r="B16" s="7"/>
      <c r="C16" s="7">
        <f t="shared" si="5"/>
        <v>-146128.34160000001</v>
      </c>
      <c r="D16" s="7">
        <f t="shared" si="0"/>
        <v>10512</v>
      </c>
      <c r="E16" s="17">
        <f t="shared" si="3"/>
        <v>66.75</v>
      </c>
      <c r="F16" s="7">
        <f t="shared" si="1"/>
        <v>701676</v>
      </c>
      <c r="G16" s="7">
        <f t="shared" si="6"/>
        <v>555547.65839999996</v>
      </c>
      <c r="H16" s="7">
        <f t="shared" si="4"/>
        <v>457050.433430515</v>
      </c>
      <c r="I16" s="7">
        <f t="shared" si="7"/>
        <v>-1947730.5928085519</v>
      </c>
    </row>
    <row r="17" spans="1:9" x14ac:dyDescent="0.35">
      <c r="A17" s="14">
        <f t="shared" si="2"/>
        <v>6</v>
      </c>
      <c r="B17" s="7"/>
      <c r="C17" s="7">
        <f t="shared" si="5"/>
        <v>-149050.90843200003</v>
      </c>
      <c r="D17" s="7">
        <f t="shared" si="0"/>
        <v>10512</v>
      </c>
      <c r="E17" s="17">
        <f t="shared" si="3"/>
        <v>66.75</v>
      </c>
      <c r="F17" s="7">
        <f t="shared" si="1"/>
        <v>701676</v>
      </c>
      <c r="G17" s="7">
        <f t="shared" si="6"/>
        <v>552625.09156799992</v>
      </c>
      <c r="H17" s="7">
        <f t="shared" si="4"/>
        <v>432996.21949055605</v>
      </c>
      <c r="I17" s="7">
        <f t="shared" si="7"/>
        <v>-1514734.3733179958</v>
      </c>
    </row>
    <row r="18" spans="1:9" x14ac:dyDescent="0.35">
      <c r="A18" s="14">
        <f t="shared" si="2"/>
        <v>7</v>
      </c>
      <c r="B18" s="7"/>
      <c r="C18" s="7">
        <f t="shared" si="5"/>
        <v>-152031.92660064003</v>
      </c>
      <c r="D18" s="7">
        <f t="shared" si="0"/>
        <v>10512</v>
      </c>
      <c r="E18" s="17">
        <f t="shared" si="3"/>
        <v>66.75</v>
      </c>
      <c r="F18" s="7">
        <f t="shared" si="1"/>
        <v>701676</v>
      </c>
      <c r="G18" s="7">
        <f t="shared" si="6"/>
        <v>549644.07339935994</v>
      </c>
      <c r="H18" s="7">
        <f t="shared" si="4"/>
        <v>410152.87024067505</v>
      </c>
      <c r="I18" s="7">
        <f t="shared" si="7"/>
        <v>-1104581.5030773208</v>
      </c>
    </row>
    <row r="19" spans="1:9" x14ac:dyDescent="0.35">
      <c r="A19" s="14">
        <f t="shared" si="2"/>
        <v>8</v>
      </c>
      <c r="B19" s="7"/>
      <c r="C19" s="7">
        <f t="shared" si="5"/>
        <v>-155072.56513265285</v>
      </c>
      <c r="D19" s="7">
        <f t="shared" si="0"/>
        <v>10512</v>
      </c>
      <c r="E19" s="17">
        <f t="shared" si="3"/>
        <v>66.75</v>
      </c>
      <c r="F19" s="7">
        <f t="shared" si="1"/>
        <v>701676</v>
      </c>
      <c r="G19" s="7">
        <f t="shared" si="6"/>
        <v>546603.43486734712</v>
      </c>
      <c r="H19" s="7">
        <f t="shared" si="4"/>
        <v>388460.85614521947</v>
      </c>
      <c r="I19" s="7">
        <f t="shared" si="7"/>
        <v>-716120.64693210134</v>
      </c>
    </row>
    <row r="20" spans="1:9" x14ac:dyDescent="0.35">
      <c r="A20" s="14">
        <f t="shared" si="2"/>
        <v>9</v>
      </c>
      <c r="B20" s="7"/>
      <c r="C20" s="7">
        <f t="shared" si="5"/>
        <v>-158174.01643530591</v>
      </c>
      <c r="D20" s="7">
        <f t="shared" si="0"/>
        <v>10512</v>
      </c>
      <c r="E20" s="17">
        <f t="shared" si="3"/>
        <v>66.75</v>
      </c>
      <c r="F20" s="7">
        <f t="shared" si="1"/>
        <v>701676</v>
      </c>
      <c r="G20" s="7">
        <f t="shared" si="6"/>
        <v>543501.98356469406</v>
      </c>
      <c r="H20" s="7">
        <f t="shared" si="4"/>
        <v>367863.53581725358</v>
      </c>
      <c r="I20" s="7">
        <f t="shared" si="7"/>
        <v>-348257.11111484776</v>
      </c>
    </row>
    <row r="21" spans="1:9" x14ac:dyDescent="0.35">
      <c r="A21" s="14">
        <f t="shared" si="2"/>
        <v>10</v>
      </c>
      <c r="B21" s="7"/>
      <c r="C21" s="7">
        <f t="shared" si="5"/>
        <v>-161337.49676401203</v>
      </c>
      <c r="D21" s="7">
        <f t="shared" si="0"/>
        <v>10512</v>
      </c>
      <c r="E21" s="17">
        <f t="shared" si="3"/>
        <v>66.75</v>
      </c>
      <c r="F21" s="7">
        <f t="shared" si="1"/>
        <v>701676</v>
      </c>
      <c r="G21" s="7">
        <f t="shared" si="6"/>
        <v>540338.50323598797</v>
      </c>
      <c r="H21" s="7">
        <f t="shared" si="4"/>
        <v>348307.01696169697</v>
      </c>
      <c r="I21" s="7">
        <f t="shared" si="7"/>
        <v>49.905846849200316</v>
      </c>
    </row>
    <row r="22" spans="1:9" x14ac:dyDescent="0.35">
      <c r="A22" s="14">
        <f>A21+1</f>
        <v>11</v>
      </c>
      <c r="B22" s="7"/>
      <c r="C22" s="7">
        <f t="shared" si="5"/>
        <v>-164564.24669929227</v>
      </c>
      <c r="D22" s="7">
        <f t="shared" si="0"/>
        <v>10512</v>
      </c>
      <c r="E22" s="17">
        <f t="shared" si="3"/>
        <v>66.75</v>
      </c>
      <c r="F22" s="7">
        <f t="shared" si="1"/>
        <v>701676</v>
      </c>
      <c r="G22" s="7">
        <f t="shared" si="6"/>
        <v>537111.75330070779</v>
      </c>
      <c r="H22" s="7">
        <f t="shared" si="4"/>
        <v>329740.02398381918</v>
      </c>
      <c r="I22" s="7">
        <f t="shared" si="7"/>
        <v>329789.92983066838</v>
      </c>
    </row>
    <row r="23" spans="1:9" x14ac:dyDescent="0.35">
      <c r="A23" s="14">
        <f t="shared" si="2"/>
        <v>12</v>
      </c>
      <c r="B23" s="7"/>
      <c r="C23" s="7">
        <f t="shared" si="5"/>
        <v>-167855.53163327812</v>
      </c>
      <c r="D23" s="7">
        <f t="shared" si="0"/>
        <v>10512</v>
      </c>
      <c r="E23" s="17">
        <f t="shared" si="3"/>
        <v>66.75</v>
      </c>
      <c r="F23" s="7">
        <f t="shared" si="1"/>
        <v>701676</v>
      </c>
      <c r="G23" s="7">
        <f t="shared" si="6"/>
        <v>533820.46836672188</v>
      </c>
      <c r="H23" s="7">
        <f t="shared" si="4"/>
        <v>312113.77194444399</v>
      </c>
      <c r="I23" s="7">
        <f t="shared" si="7"/>
        <v>641903.70177511242</v>
      </c>
    </row>
    <row r="24" spans="1:9" x14ac:dyDescent="0.35">
      <c r="A24" s="14">
        <f t="shared" si="2"/>
        <v>13</v>
      </c>
      <c r="B24" s="7"/>
      <c r="C24" s="7">
        <f t="shared" si="5"/>
        <v>-171212.64226594369</v>
      </c>
      <c r="D24" s="7">
        <f t="shared" si="0"/>
        <v>10512</v>
      </c>
      <c r="E24" s="17">
        <f t="shared" si="3"/>
        <v>66.75</v>
      </c>
      <c r="F24" s="7">
        <f t="shared" si="1"/>
        <v>701676</v>
      </c>
      <c r="G24" s="7">
        <f t="shared" si="6"/>
        <v>530463.35773405631</v>
      </c>
      <c r="H24" s="7">
        <f t="shared" si="4"/>
        <v>295381.84655843105</v>
      </c>
      <c r="I24" s="7">
        <f t="shared" si="7"/>
        <v>937285.54833354347</v>
      </c>
    </row>
    <row r="25" spans="1:9" x14ac:dyDescent="0.35">
      <c r="A25" s="14">
        <f t="shared" si="2"/>
        <v>14</v>
      </c>
      <c r="B25" s="7"/>
      <c r="C25" s="7">
        <f t="shared" si="5"/>
        <v>-174636.89511126257</v>
      </c>
      <c r="D25" s="7">
        <f t="shared" si="0"/>
        <v>10512</v>
      </c>
      <c r="E25" s="17">
        <f t="shared" si="3"/>
        <v>66.75</v>
      </c>
      <c r="F25" s="7">
        <f t="shared" si="1"/>
        <v>701676</v>
      </c>
      <c r="G25" s="7">
        <f t="shared" si="6"/>
        <v>527039.10488873743</v>
      </c>
      <c r="H25" s="7">
        <f t="shared" si="4"/>
        <v>279500.08994748234</v>
      </c>
      <c r="I25" s="7">
        <f t="shared" si="7"/>
        <v>1216785.6382810259</v>
      </c>
    </row>
    <row r="26" spans="1:9" x14ac:dyDescent="0.35">
      <c r="A26" s="14">
        <f t="shared" si="2"/>
        <v>15</v>
      </c>
      <c r="B26" s="7"/>
      <c r="C26" s="7">
        <f t="shared" si="5"/>
        <v>-178129.63301348782</v>
      </c>
      <c r="D26" s="7">
        <f t="shared" si="0"/>
        <v>10512</v>
      </c>
      <c r="E26" s="17">
        <f t="shared" si="3"/>
        <v>66.75</v>
      </c>
      <c r="F26" s="7">
        <f t="shared" si="1"/>
        <v>701676</v>
      </c>
      <c r="G26" s="7">
        <f t="shared" si="6"/>
        <v>523546.36698651221</v>
      </c>
      <c r="H26" s="7">
        <f t="shared" si="4"/>
        <v>264426.49187211844</v>
      </c>
      <c r="I26" s="7">
        <f>I25+H26</f>
        <v>1481212.1301531442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</vt:lpstr>
      <vt:lpstr>Cost</vt:lpstr>
      <vt:lpstr>O&amp;M</vt:lpstr>
      <vt:lpstr>Cap Fact</vt:lpstr>
      <vt:lpstr>Discount</vt:lpstr>
      <vt:lpstr>Escal R</vt:lpstr>
      <vt:lpstr>Lifetime</vt:lpstr>
      <vt:lpstr>Sensiv</vt:lpstr>
      <vt:lpstr>CFs</vt:lpstr>
      <vt:lpstr>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Dechamps</dc:creator>
  <cp:lastModifiedBy>Muhammad Raynaldi</cp:lastModifiedBy>
  <dcterms:created xsi:type="dcterms:W3CDTF">2020-01-31T13:29:02Z</dcterms:created>
  <dcterms:modified xsi:type="dcterms:W3CDTF">2024-02-05T19:03:17Z</dcterms:modified>
</cp:coreProperties>
</file>