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irza\Desktop\"/>
    </mc:Choice>
  </mc:AlternateContent>
  <xr:revisionPtr revIDLastSave="0" documentId="13_ncr:1_{9A38DDB8-916E-4E10-926F-13FFA5838088}" xr6:coauthVersionLast="47" xr6:coauthVersionMax="47" xr10:uidLastSave="{00000000-0000-0000-0000-000000000000}"/>
  <bookViews>
    <workbookView xWindow="-110" yWindow="-110" windowWidth="19420" windowHeight="10300" tabRatio="500" activeTab="2" xr2:uid="{00000000-000D-0000-FFFF-FFFF00000000}"/>
  </bookViews>
  <sheets>
    <sheet name="Summary" sheetId="5" r:id="rId1"/>
    <sheet name="Light all data" sheetId="6" r:id="rId2"/>
    <sheet name="Temp_all_data" sheetId="4" r:id="rId3"/>
    <sheet name="SPSS_Light" sheetId="2" r:id="rId4"/>
    <sheet name="SPSS_Temp" sheetId="3" r:id="rId5"/>
  </sheets>
  <externalReferences>
    <externalReference r:id="rId6"/>
  </externalReferences>
  <definedNames>
    <definedName name="Location">[1]Notes!$A$2:$A$3</definedName>
    <definedName name="Operation">'[1]Notes etc'!$A$2:$A$6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5" i="5" l="1"/>
  <c r="AF36" i="4"/>
  <c r="AC36" i="4"/>
  <c r="Z36" i="4"/>
  <c r="AF35" i="4"/>
  <c r="AC35" i="4"/>
  <c r="Z35" i="4"/>
  <c r="AF34" i="4"/>
  <c r="AC34" i="4"/>
  <c r="Z34" i="4"/>
  <c r="AF33" i="4"/>
  <c r="AC33" i="4"/>
  <c r="Z33" i="4"/>
  <c r="AF32" i="4"/>
  <c r="AC32" i="4"/>
  <c r="Z32" i="4"/>
  <c r="AF31" i="4"/>
  <c r="AC31" i="4"/>
  <c r="Z31" i="4"/>
  <c r="AF29" i="4"/>
  <c r="AC29" i="4"/>
  <c r="Z29" i="4"/>
  <c r="AF28" i="4"/>
  <c r="AC28" i="4"/>
  <c r="Z28" i="4"/>
  <c r="AF27" i="4"/>
  <c r="AC27" i="4"/>
  <c r="Z27" i="4"/>
  <c r="AF26" i="4"/>
  <c r="AC26" i="4"/>
  <c r="Z26" i="4"/>
  <c r="AF25" i="4"/>
  <c r="AC25" i="4"/>
  <c r="Z25" i="4"/>
  <c r="AF24" i="4"/>
  <c r="AC24" i="4"/>
  <c r="Z24" i="4"/>
  <c r="AF22" i="4"/>
  <c r="AC22" i="4"/>
  <c r="Z22" i="4"/>
  <c r="AF21" i="4"/>
  <c r="AC21" i="4"/>
  <c r="Z21" i="4"/>
  <c r="AF20" i="4"/>
  <c r="AC20" i="4"/>
  <c r="Z20" i="4"/>
  <c r="AF19" i="4"/>
  <c r="AC19" i="4"/>
  <c r="Z19" i="4"/>
  <c r="AF18" i="4"/>
  <c r="AC18" i="4"/>
  <c r="Z18" i="4"/>
  <c r="AF17" i="4"/>
  <c r="AC17" i="4"/>
  <c r="Z17" i="4"/>
  <c r="AF15" i="4"/>
  <c r="AC15" i="4"/>
  <c r="Z15" i="4"/>
  <c r="AF14" i="4"/>
  <c r="AC14" i="4"/>
  <c r="Z14" i="4"/>
  <c r="AF13" i="4"/>
  <c r="AC13" i="4"/>
  <c r="Z13" i="4"/>
  <c r="AF12" i="4"/>
  <c r="AC12" i="4"/>
  <c r="Z12" i="4"/>
  <c r="AF11" i="4"/>
  <c r="AC11" i="4"/>
  <c r="Z11" i="4"/>
  <c r="AF10" i="4"/>
  <c r="AC10" i="4"/>
  <c r="Z10" i="4"/>
  <c r="AF8" i="4"/>
  <c r="AC8" i="4"/>
  <c r="Z8" i="4"/>
  <c r="AF7" i="4"/>
  <c r="AC7" i="4"/>
  <c r="Z7" i="4"/>
  <c r="AF6" i="4"/>
  <c r="AC6" i="4"/>
  <c r="Z6" i="4"/>
  <c r="AF5" i="4"/>
  <c r="AC5" i="4"/>
  <c r="Z5" i="4"/>
  <c r="AF4" i="4"/>
  <c r="AC4" i="4"/>
  <c r="Z4" i="4"/>
  <c r="AF3" i="4"/>
  <c r="AC3" i="4"/>
  <c r="Z3" i="4"/>
  <c r="F36" i="4"/>
  <c r="F35" i="4"/>
  <c r="F34" i="4"/>
  <c r="F33" i="4"/>
  <c r="F32" i="4"/>
  <c r="F31" i="4"/>
  <c r="M34" i="4"/>
  <c r="M35" i="4"/>
  <c r="N36" i="4"/>
  <c r="O36" i="4"/>
  <c r="N34" i="4"/>
  <c r="M31" i="4"/>
  <c r="M32" i="4"/>
  <c r="N33" i="4"/>
  <c r="N31" i="4"/>
  <c r="M6" i="4"/>
  <c r="M10" i="4"/>
  <c r="M13" i="4"/>
  <c r="M22" i="4"/>
  <c r="M20" i="4"/>
  <c r="M38" i="6"/>
  <c r="M34" i="6"/>
  <c r="M35" i="6"/>
  <c r="N36" i="6"/>
  <c r="N35" i="6"/>
  <c r="N34" i="6"/>
  <c r="M33" i="6"/>
  <c r="N33" i="6"/>
  <c r="M31" i="6"/>
  <c r="N31" i="6"/>
  <c r="M3" i="6"/>
  <c r="N3" i="6"/>
  <c r="M5" i="6"/>
  <c r="N4" i="6"/>
  <c r="N32" i="4"/>
  <c r="N35" i="4"/>
  <c r="B9" i="5"/>
  <c r="AA31" i="4"/>
  <c r="AD31" i="4"/>
  <c r="AG31" i="4"/>
  <c r="AJ31" i="4"/>
  <c r="AA32" i="4"/>
  <c r="AD32" i="4"/>
  <c r="AG32" i="4"/>
  <c r="AJ32" i="4"/>
  <c r="AA33" i="4"/>
  <c r="AD33" i="4"/>
  <c r="AG33" i="4"/>
  <c r="AJ33" i="4"/>
  <c r="AA34" i="4"/>
  <c r="AD34" i="4"/>
  <c r="AG34" i="4"/>
  <c r="AJ34" i="4"/>
  <c r="AA35" i="4"/>
  <c r="AD35" i="4"/>
  <c r="AG35" i="4"/>
  <c r="AJ35" i="4"/>
  <c r="AA36" i="4"/>
  <c r="AD36" i="4"/>
  <c r="AG36" i="4"/>
  <c r="AJ36" i="4"/>
  <c r="D9" i="5"/>
  <c r="E9" i="5"/>
  <c r="N5" i="6"/>
  <c r="M6" i="6"/>
  <c r="N6" i="6"/>
  <c r="M8" i="6"/>
  <c r="N7" i="6"/>
  <c r="N8" i="6"/>
  <c r="B16" i="5"/>
  <c r="Z3" i="6"/>
  <c r="AA3" i="6"/>
  <c r="AC3" i="6"/>
  <c r="AD3" i="6"/>
  <c r="AF3" i="6"/>
  <c r="AG3" i="6"/>
  <c r="AJ3" i="6"/>
  <c r="Z4" i="6"/>
  <c r="AA4" i="6"/>
  <c r="AC4" i="6"/>
  <c r="AD4" i="6"/>
  <c r="AF4" i="6"/>
  <c r="AG4" i="6"/>
  <c r="AJ4" i="6"/>
  <c r="Z5" i="6"/>
  <c r="AA5" i="6"/>
  <c r="AC5" i="6"/>
  <c r="AD5" i="6"/>
  <c r="AF5" i="6"/>
  <c r="AG5" i="6"/>
  <c r="AJ5" i="6"/>
  <c r="Z6" i="6"/>
  <c r="AA6" i="6"/>
  <c r="AC6" i="6"/>
  <c r="AD6" i="6"/>
  <c r="AF6" i="6"/>
  <c r="AG6" i="6"/>
  <c r="AJ6" i="6"/>
  <c r="Z7" i="6"/>
  <c r="AA7" i="6"/>
  <c r="AC7" i="6"/>
  <c r="AD7" i="6"/>
  <c r="AF7" i="6"/>
  <c r="AG7" i="6"/>
  <c r="AJ7" i="6"/>
  <c r="Z8" i="6"/>
  <c r="AA8" i="6"/>
  <c r="AC8" i="6"/>
  <c r="AD8" i="6"/>
  <c r="AF8" i="6"/>
  <c r="AG8" i="6"/>
  <c r="AJ8" i="6"/>
  <c r="D16" i="5"/>
  <c r="E16" i="5"/>
  <c r="O31" i="4"/>
  <c r="O32" i="4"/>
  <c r="O33" i="4"/>
  <c r="O34" i="4"/>
  <c r="O35" i="4"/>
  <c r="O24" i="4"/>
  <c r="O25" i="4"/>
  <c r="O26" i="4"/>
  <c r="O27" i="4"/>
  <c r="O28" i="4"/>
  <c r="O29" i="4"/>
  <c r="O17" i="4"/>
  <c r="O18" i="4"/>
  <c r="O19" i="4"/>
  <c r="O20" i="4"/>
  <c r="O21" i="4"/>
  <c r="O22" i="4"/>
  <c r="O10" i="4"/>
  <c r="O11" i="4"/>
  <c r="O12" i="4"/>
  <c r="O13" i="4"/>
  <c r="O14" i="4"/>
  <c r="O15" i="4"/>
  <c r="O3" i="4"/>
  <c r="O4" i="4"/>
  <c r="O5" i="4"/>
  <c r="O6" i="4"/>
  <c r="O7" i="4"/>
  <c r="O8" i="4"/>
  <c r="O24" i="6"/>
  <c r="O25" i="6"/>
  <c r="O26" i="6"/>
  <c r="O27" i="6"/>
  <c r="O28" i="6"/>
  <c r="O29" i="6"/>
  <c r="O31" i="6"/>
  <c r="O32" i="6"/>
  <c r="O33" i="6"/>
  <c r="O34" i="6"/>
  <c r="O35" i="6"/>
  <c r="O36" i="6"/>
  <c r="O38" i="6"/>
  <c r="O39" i="6"/>
  <c r="O40" i="6"/>
  <c r="O41" i="6"/>
  <c r="O42" i="6"/>
  <c r="O43" i="6"/>
  <c r="O17" i="6"/>
  <c r="O18" i="6"/>
  <c r="O19" i="6"/>
  <c r="O20" i="6"/>
  <c r="O21" i="6"/>
  <c r="O22" i="6"/>
  <c r="O10" i="6"/>
  <c r="O11" i="6"/>
  <c r="O12" i="6"/>
  <c r="O13" i="6"/>
  <c r="O14" i="6"/>
  <c r="O15" i="6"/>
  <c r="O3" i="6"/>
  <c r="O4" i="6"/>
  <c r="O5" i="6"/>
  <c r="O6" i="6"/>
  <c r="O7" i="6"/>
  <c r="O8" i="6"/>
  <c r="Z38" i="6"/>
  <c r="AA38" i="6"/>
  <c r="AC38" i="6"/>
  <c r="AD38" i="6"/>
  <c r="AF38" i="6"/>
  <c r="AG38" i="6"/>
  <c r="AJ38" i="6"/>
  <c r="Z39" i="6"/>
  <c r="M40" i="6"/>
  <c r="AA39" i="6"/>
  <c r="AC39" i="6"/>
  <c r="AD39" i="6"/>
  <c r="AF39" i="6"/>
  <c r="AG39" i="6"/>
  <c r="AJ39" i="6"/>
  <c r="Z40" i="6"/>
  <c r="AA40" i="6"/>
  <c r="AC40" i="6"/>
  <c r="AD40" i="6"/>
  <c r="AF40" i="6"/>
  <c r="AG40" i="6"/>
  <c r="AJ40" i="6"/>
  <c r="Z41" i="6"/>
  <c r="M41" i="6"/>
  <c r="AA41" i="6"/>
  <c r="AC41" i="6"/>
  <c r="AD41" i="6"/>
  <c r="AF41" i="6"/>
  <c r="AG41" i="6"/>
  <c r="AJ41" i="6"/>
  <c r="Z42" i="6"/>
  <c r="M43" i="6"/>
  <c r="AA42" i="6"/>
  <c r="AC42" i="6"/>
  <c r="AD42" i="6"/>
  <c r="AF42" i="6"/>
  <c r="AG42" i="6"/>
  <c r="AJ42" i="6"/>
  <c r="Z43" i="6"/>
  <c r="AA43" i="6"/>
  <c r="AC43" i="6"/>
  <c r="AD43" i="6"/>
  <c r="AF43" i="6"/>
  <c r="AG43" i="6"/>
  <c r="AJ43" i="6"/>
  <c r="D21" i="5"/>
  <c r="M3" i="4"/>
  <c r="AA3" i="4"/>
  <c r="AD3" i="4"/>
  <c r="AG3" i="4"/>
  <c r="AJ3" i="4"/>
  <c r="M5" i="4"/>
  <c r="AA4" i="4"/>
  <c r="AD4" i="4"/>
  <c r="AG4" i="4"/>
  <c r="AJ4" i="4"/>
  <c r="AA5" i="4"/>
  <c r="AD5" i="4"/>
  <c r="AG5" i="4"/>
  <c r="AJ5" i="4"/>
  <c r="AA6" i="4"/>
  <c r="AD6" i="4"/>
  <c r="AG6" i="4"/>
  <c r="AJ6" i="4"/>
  <c r="M8" i="4"/>
  <c r="AA7" i="4"/>
  <c r="AD7" i="4"/>
  <c r="AG7" i="4"/>
  <c r="AJ7" i="4"/>
  <c r="AA8" i="4"/>
  <c r="AD8" i="4"/>
  <c r="AG8" i="4"/>
  <c r="AJ8" i="4"/>
  <c r="H5" i="5"/>
  <c r="N3" i="4"/>
  <c r="N4" i="4"/>
  <c r="N5" i="4"/>
  <c r="N6" i="4"/>
  <c r="N7" i="4"/>
  <c r="N8" i="4"/>
  <c r="F5" i="5"/>
  <c r="M18" i="4"/>
  <c r="N17" i="4"/>
  <c r="N18" i="4"/>
  <c r="N19" i="4"/>
  <c r="N20" i="4"/>
  <c r="N21" i="4"/>
  <c r="N22" i="4"/>
  <c r="F7" i="5"/>
  <c r="B7" i="5"/>
  <c r="AA17" i="4"/>
  <c r="AD17" i="4"/>
  <c r="AG17" i="4"/>
  <c r="AJ17" i="4"/>
  <c r="AA18" i="4"/>
  <c r="AD18" i="4"/>
  <c r="AG18" i="4"/>
  <c r="AJ18" i="4"/>
  <c r="AA19" i="4"/>
  <c r="AD19" i="4"/>
  <c r="AG19" i="4"/>
  <c r="AJ19" i="4"/>
  <c r="AA20" i="4"/>
  <c r="AD20" i="4"/>
  <c r="AG20" i="4"/>
  <c r="AJ20" i="4"/>
  <c r="AA21" i="4"/>
  <c r="AD21" i="4"/>
  <c r="AG21" i="4"/>
  <c r="AJ21" i="4"/>
  <c r="AA22" i="4"/>
  <c r="AD22" i="4"/>
  <c r="AG22" i="4"/>
  <c r="AJ22" i="4"/>
  <c r="H7" i="5"/>
  <c r="D7" i="5"/>
  <c r="E7" i="5"/>
  <c r="I7" i="5"/>
  <c r="B5" i="5"/>
  <c r="D5" i="5"/>
  <c r="E5" i="5"/>
  <c r="I5" i="5"/>
  <c r="AF24" i="6"/>
  <c r="M24" i="6"/>
  <c r="AG24" i="6"/>
  <c r="S24" i="6"/>
  <c r="S24" i="4"/>
  <c r="AB24" i="4"/>
  <c r="AE34" i="4"/>
  <c r="N10" i="4"/>
  <c r="M12" i="4"/>
  <c r="N11" i="4"/>
  <c r="N12" i="4"/>
  <c r="N13" i="4"/>
  <c r="M15" i="4"/>
  <c r="N14" i="4"/>
  <c r="N15" i="4"/>
  <c r="B6" i="5"/>
  <c r="AA10" i="4"/>
  <c r="AD10" i="4"/>
  <c r="AG10" i="4"/>
  <c r="AJ10" i="4"/>
  <c r="AA11" i="4"/>
  <c r="AD11" i="4"/>
  <c r="AG11" i="4"/>
  <c r="AJ11" i="4"/>
  <c r="AA12" i="4"/>
  <c r="AD12" i="4"/>
  <c r="AG12" i="4"/>
  <c r="AJ12" i="4"/>
  <c r="AA13" i="4"/>
  <c r="AD13" i="4"/>
  <c r="AG13" i="4"/>
  <c r="AJ13" i="4"/>
  <c r="AA14" i="4"/>
  <c r="AD14" i="4"/>
  <c r="AG14" i="4"/>
  <c r="AJ14" i="4"/>
  <c r="AA15" i="4"/>
  <c r="AD15" i="4"/>
  <c r="AG15" i="4"/>
  <c r="AJ15" i="4"/>
  <c r="D6" i="5"/>
  <c r="E6" i="5"/>
  <c r="F16" i="5"/>
  <c r="H16" i="5"/>
  <c r="I16" i="5"/>
  <c r="H21" i="5"/>
  <c r="Y38" i="6"/>
  <c r="AB38" i="6"/>
  <c r="AE38" i="6"/>
  <c r="AH38" i="6"/>
  <c r="Y39" i="6"/>
  <c r="AB39" i="6"/>
  <c r="AE39" i="6"/>
  <c r="AH39" i="6"/>
  <c r="Y40" i="6"/>
  <c r="AB40" i="6"/>
  <c r="AE40" i="6"/>
  <c r="AH40" i="6"/>
  <c r="Y41" i="6"/>
  <c r="AB41" i="6"/>
  <c r="AE41" i="6"/>
  <c r="AH41" i="6"/>
  <c r="Y42" i="6"/>
  <c r="AB42" i="6"/>
  <c r="AE42" i="6"/>
  <c r="AH42" i="6"/>
  <c r="Y43" i="6"/>
  <c r="AB43" i="6"/>
  <c r="AE43" i="6"/>
  <c r="AH43" i="6"/>
  <c r="G21" i="5"/>
  <c r="N38" i="6"/>
  <c r="N39" i="6"/>
  <c r="N40" i="6"/>
  <c r="N41" i="6"/>
  <c r="N42" i="6"/>
  <c r="N43" i="6"/>
  <c r="F21" i="5"/>
  <c r="Z31" i="6"/>
  <c r="M32" i="6"/>
  <c r="AA31" i="6"/>
  <c r="AC31" i="6"/>
  <c r="AD31" i="6"/>
  <c r="AF31" i="6"/>
  <c r="AG31" i="6"/>
  <c r="AJ31" i="6"/>
  <c r="Z32" i="6"/>
  <c r="AA32" i="6"/>
  <c r="AC32" i="6"/>
  <c r="AD32" i="6"/>
  <c r="AF32" i="6"/>
  <c r="AG32" i="6"/>
  <c r="AJ32" i="6"/>
  <c r="Z33" i="6"/>
  <c r="AA33" i="6"/>
  <c r="AC33" i="6"/>
  <c r="AD33" i="6"/>
  <c r="AF33" i="6"/>
  <c r="AG33" i="6"/>
  <c r="AJ33" i="6"/>
  <c r="Z34" i="6"/>
  <c r="AA34" i="6"/>
  <c r="AC34" i="6"/>
  <c r="AD34" i="6"/>
  <c r="AF34" i="6"/>
  <c r="AG34" i="6"/>
  <c r="AJ34" i="6"/>
  <c r="Z35" i="6"/>
  <c r="AA35" i="6"/>
  <c r="AC35" i="6"/>
  <c r="AD35" i="6"/>
  <c r="AF35" i="6"/>
  <c r="AG35" i="6"/>
  <c r="AJ35" i="6"/>
  <c r="Z36" i="6"/>
  <c r="AA36" i="6"/>
  <c r="AC36" i="6"/>
  <c r="AD36" i="6"/>
  <c r="AF36" i="6"/>
  <c r="AG36" i="6"/>
  <c r="AJ36" i="6"/>
  <c r="H20" i="5"/>
  <c r="Y31" i="6"/>
  <c r="AB31" i="6"/>
  <c r="AE31" i="6"/>
  <c r="AH31" i="6"/>
  <c r="Y32" i="6"/>
  <c r="AB32" i="6"/>
  <c r="AE32" i="6"/>
  <c r="AH32" i="6"/>
  <c r="Y33" i="6"/>
  <c r="AB33" i="6"/>
  <c r="AE33" i="6"/>
  <c r="AH33" i="6"/>
  <c r="Y34" i="6"/>
  <c r="AB34" i="6"/>
  <c r="AE34" i="6"/>
  <c r="AH34" i="6"/>
  <c r="Y35" i="6"/>
  <c r="AB35" i="6"/>
  <c r="AE35" i="6"/>
  <c r="AH35" i="6"/>
  <c r="Y36" i="6"/>
  <c r="AB36" i="6"/>
  <c r="AE36" i="6"/>
  <c r="AH36" i="6"/>
  <c r="G20" i="5"/>
  <c r="N32" i="6"/>
  <c r="F20" i="5"/>
  <c r="Z24" i="6"/>
  <c r="AA24" i="6"/>
  <c r="AC24" i="6"/>
  <c r="AD24" i="6"/>
  <c r="AJ24" i="6"/>
  <c r="Z25" i="6"/>
  <c r="M26" i="6"/>
  <c r="AA25" i="6"/>
  <c r="AC25" i="6"/>
  <c r="AD25" i="6"/>
  <c r="AF25" i="6"/>
  <c r="AG25" i="6"/>
  <c r="AJ25" i="6"/>
  <c r="Z26" i="6"/>
  <c r="AA26" i="6"/>
  <c r="AC26" i="6"/>
  <c r="AD26" i="6"/>
  <c r="AF26" i="6"/>
  <c r="AG26" i="6"/>
  <c r="AJ26" i="6"/>
  <c r="Z27" i="6"/>
  <c r="M27" i="6"/>
  <c r="AA27" i="6"/>
  <c r="AC27" i="6"/>
  <c r="AD27" i="6"/>
  <c r="AF27" i="6"/>
  <c r="AG27" i="6"/>
  <c r="AJ27" i="6"/>
  <c r="Z28" i="6"/>
  <c r="M29" i="6"/>
  <c r="AA28" i="6"/>
  <c r="AC28" i="6"/>
  <c r="AD28" i="6"/>
  <c r="AF28" i="6"/>
  <c r="AG28" i="6"/>
  <c r="AJ28" i="6"/>
  <c r="Z29" i="6"/>
  <c r="AA29" i="6"/>
  <c r="AC29" i="6"/>
  <c r="AD29" i="6"/>
  <c r="AF29" i="6"/>
  <c r="AG29" i="6"/>
  <c r="AJ29" i="6"/>
  <c r="H19" i="5"/>
  <c r="AB24" i="6"/>
  <c r="Y24" i="6"/>
  <c r="AE24" i="6"/>
  <c r="AH24" i="6"/>
  <c r="Y25" i="6"/>
  <c r="AB25" i="6"/>
  <c r="AE25" i="6"/>
  <c r="AH25" i="6"/>
  <c r="Y26" i="6"/>
  <c r="AB26" i="6"/>
  <c r="AE26" i="6"/>
  <c r="AH26" i="6"/>
  <c r="Y27" i="6"/>
  <c r="AB27" i="6"/>
  <c r="AE27" i="6"/>
  <c r="AH27" i="6"/>
  <c r="Y28" i="6"/>
  <c r="AB28" i="6"/>
  <c r="AE28" i="6"/>
  <c r="AH28" i="6"/>
  <c r="Y29" i="6"/>
  <c r="AB29" i="6"/>
  <c r="AE29" i="6"/>
  <c r="AH29" i="6"/>
  <c r="G19" i="5"/>
  <c r="N24" i="6"/>
  <c r="N25" i="6"/>
  <c r="N26" i="6"/>
  <c r="N27" i="6"/>
  <c r="N28" i="6"/>
  <c r="N29" i="6"/>
  <c r="F19" i="5"/>
  <c r="Z17" i="6"/>
  <c r="M18" i="6"/>
  <c r="M20" i="6"/>
  <c r="M22" i="6"/>
  <c r="AA17" i="6"/>
  <c r="AC17" i="6"/>
  <c r="AD17" i="6"/>
  <c r="AF17" i="6"/>
  <c r="AG17" i="6"/>
  <c r="AJ17" i="6"/>
  <c r="Z18" i="6"/>
  <c r="AA18" i="6"/>
  <c r="AC18" i="6"/>
  <c r="AD18" i="6"/>
  <c r="AF18" i="6"/>
  <c r="AG18" i="6"/>
  <c r="AJ18" i="6"/>
  <c r="Z19" i="6"/>
  <c r="AA19" i="6"/>
  <c r="AC19" i="6"/>
  <c r="AD19" i="6"/>
  <c r="AF19" i="6"/>
  <c r="AG19" i="6"/>
  <c r="AJ19" i="6"/>
  <c r="Z20" i="6"/>
  <c r="AA20" i="6"/>
  <c r="AC20" i="6"/>
  <c r="AD20" i="6"/>
  <c r="AF20" i="6"/>
  <c r="AG20" i="6"/>
  <c r="AJ20" i="6"/>
  <c r="Z21" i="6"/>
  <c r="AA21" i="6"/>
  <c r="AC21" i="6"/>
  <c r="AD21" i="6"/>
  <c r="AF21" i="6"/>
  <c r="AG21" i="6"/>
  <c r="AJ21" i="6"/>
  <c r="Z22" i="6"/>
  <c r="AA22" i="6"/>
  <c r="AC22" i="6"/>
  <c r="AD22" i="6"/>
  <c r="AF22" i="6"/>
  <c r="AG22" i="6"/>
  <c r="AJ22" i="6"/>
  <c r="H18" i="5"/>
  <c r="Y17" i="6"/>
  <c r="AB17" i="6"/>
  <c r="AE17" i="6"/>
  <c r="AH17" i="6"/>
  <c r="Y18" i="6"/>
  <c r="AB18" i="6"/>
  <c r="AE18" i="6"/>
  <c r="AH18" i="6"/>
  <c r="Y19" i="6"/>
  <c r="AB19" i="6"/>
  <c r="AE19" i="6"/>
  <c r="AH19" i="6"/>
  <c r="Y20" i="6"/>
  <c r="AB20" i="6"/>
  <c r="AE20" i="6"/>
  <c r="AH20" i="6"/>
  <c r="Y21" i="6"/>
  <c r="AB21" i="6"/>
  <c r="AE21" i="6"/>
  <c r="AH21" i="6"/>
  <c r="Y22" i="6"/>
  <c r="AB22" i="6"/>
  <c r="AE22" i="6"/>
  <c r="AH22" i="6"/>
  <c r="G18" i="5"/>
  <c r="N17" i="6"/>
  <c r="N18" i="6"/>
  <c r="N19" i="6"/>
  <c r="N20" i="6"/>
  <c r="N21" i="6"/>
  <c r="N22" i="6"/>
  <c r="F18" i="5"/>
  <c r="Z10" i="6"/>
  <c r="M10" i="6"/>
  <c r="AA10" i="6"/>
  <c r="AC10" i="6"/>
  <c r="AD10" i="6"/>
  <c r="AF10" i="6"/>
  <c r="AG10" i="6"/>
  <c r="AJ10" i="6"/>
  <c r="Z11" i="6"/>
  <c r="M12" i="6"/>
  <c r="AA11" i="6"/>
  <c r="AC11" i="6"/>
  <c r="AD11" i="6"/>
  <c r="AF11" i="6"/>
  <c r="AG11" i="6"/>
  <c r="AJ11" i="6"/>
  <c r="Z12" i="6"/>
  <c r="AA12" i="6"/>
  <c r="AC12" i="6"/>
  <c r="AD12" i="6"/>
  <c r="AF12" i="6"/>
  <c r="AG12" i="6"/>
  <c r="AJ12" i="6"/>
  <c r="Z13" i="6"/>
  <c r="M13" i="6"/>
  <c r="AA13" i="6"/>
  <c r="AC13" i="6"/>
  <c r="AD13" i="6"/>
  <c r="AF13" i="6"/>
  <c r="AG13" i="6"/>
  <c r="AJ13" i="6"/>
  <c r="Z14" i="6"/>
  <c r="M15" i="6"/>
  <c r="AA14" i="6"/>
  <c r="AC14" i="6"/>
  <c r="AD14" i="6"/>
  <c r="AF14" i="6"/>
  <c r="AG14" i="6"/>
  <c r="AJ14" i="6"/>
  <c r="Z15" i="6"/>
  <c r="AA15" i="6"/>
  <c r="AC15" i="6"/>
  <c r="AD15" i="6"/>
  <c r="AF15" i="6"/>
  <c r="AG15" i="6"/>
  <c r="AJ15" i="6"/>
  <c r="H17" i="5"/>
  <c r="Y10" i="6"/>
  <c r="AB10" i="6"/>
  <c r="AE10" i="6"/>
  <c r="AH10" i="6"/>
  <c r="Y11" i="6"/>
  <c r="AB11" i="6"/>
  <c r="AE11" i="6"/>
  <c r="AH11" i="6"/>
  <c r="Y12" i="6"/>
  <c r="AB12" i="6"/>
  <c r="AE12" i="6"/>
  <c r="AH12" i="6"/>
  <c r="Y13" i="6"/>
  <c r="AB13" i="6"/>
  <c r="AE13" i="6"/>
  <c r="AH13" i="6"/>
  <c r="Y14" i="6"/>
  <c r="AB14" i="6"/>
  <c r="AE14" i="6"/>
  <c r="AH14" i="6"/>
  <c r="Y15" i="6"/>
  <c r="AB15" i="6"/>
  <c r="AE15" i="6"/>
  <c r="AH15" i="6"/>
  <c r="G17" i="5"/>
  <c r="N10" i="6"/>
  <c r="N11" i="6"/>
  <c r="N12" i="6"/>
  <c r="N13" i="6"/>
  <c r="N14" i="6"/>
  <c r="N15" i="6"/>
  <c r="F17" i="5"/>
  <c r="Y3" i="6"/>
  <c r="AB3" i="6"/>
  <c r="AE3" i="6"/>
  <c r="AH3" i="6"/>
  <c r="Y4" i="6"/>
  <c r="AB4" i="6"/>
  <c r="AE4" i="6"/>
  <c r="AH4" i="6"/>
  <c r="Y5" i="6"/>
  <c r="AB5" i="6"/>
  <c r="AE5" i="6"/>
  <c r="AH5" i="6"/>
  <c r="Y6" i="6"/>
  <c r="AB6" i="6"/>
  <c r="AE6" i="6"/>
  <c r="AH6" i="6"/>
  <c r="Y7" i="6"/>
  <c r="AB7" i="6"/>
  <c r="AE7" i="6"/>
  <c r="AH7" i="6"/>
  <c r="Y8" i="6"/>
  <c r="AB8" i="6"/>
  <c r="AE8" i="6"/>
  <c r="AH8" i="6"/>
  <c r="G16" i="5"/>
  <c r="D20" i="5"/>
  <c r="D19" i="5"/>
  <c r="D18" i="5"/>
  <c r="D17" i="5"/>
  <c r="C21" i="5"/>
  <c r="C20" i="5"/>
  <c r="C19" i="5"/>
  <c r="C18" i="5"/>
  <c r="C17" i="5"/>
  <c r="C16" i="5"/>
  <c r="B21" i="5"/>
  <c r="B20" i="5"/>
  <c r="B19" i="5"/>
  <c r="B18" i="5"/>
  <c r="B17" i="5"/>
  <c r="C41" i="6"/>
  <c r="C42" i="6"/>
  <c r="C43" i="6"/>
  <c r="AI43" i="6"/>
  <c r="F43" i="6"/>
  <c r="AI42" i="6"/>
  <c r="F42" i="6"/>
  <c r="AI41" i="6"/>
  <c r="F41" i="6"/>
  <c r="AI40" i="6"/>
  <c r="F40" i="6"/>
  <c r="AI39" i="6"/>
  <c r="F39" i="6"/>
  <c r="AI38" i="6"/>
  <c r="F38" i="6"/>
  <c r="F36" i="6"/>
  <c r="F35" i="6"/>
  <c r="F34" i="6"/>
  <c r="F31" i="6"/>
  <c r="F32" i="6"/>
  <c r="F33" i="6"/>
  <c r="AI36" i="6"/>
  <c r="AI35" i="6"/>
  <c r="AI34" i="6"/>
  <c r="AI33" i="6"/>
  <c r="AI32" i="6"/>
  <c r="AI31" i="6"/>
  <c r="AI29" i="6"/>
  <c r="F29" i="6"/>
  <c r="AI28" i="6"/>
  <c r="F28" i="6"/>
  <c r="AI27" i="6"/>
  <c r="F27" i="6"/>
  <c r="AI26" i="6"/>
  <c r="F26" i="6"/>
  <c r="AI25" i="6"/>
  <c r="F25" i="6"/>
  <c r="AI24" i="6"/>
  <c r="F24" i="6"/>
  <c r="AI22" i="6"/>
  <c r="F22" i="6"/>
  <c r="AI21" i="6"/>
  <c r="F21" i="6"/>
  <c r="AI20" i="6"/>
  <c r="F20" i="6"/>
  <c r="AI19" i="6"/>
  <c r="F19" i="6"/>
  <c r="AI18" i="6"/>
  <c r="F18" i="6"/>
  <c r="AI17" i="6"/>
  <c r="F17" i="6"/>
  <c r="AI15" i="6"/>
  <c r="F15" i="6"/>
  <c r="AI14" i="6"/>
  <c r="F14" i="6"/>
  <c r="AI13" i="6"/>
  <c r="F13" i="6"/>
  <c r="AI12" i="6"/>
  <c r="F12" i="6"/>
  <c r="AI11" i="6"/>
  <c r="F11" i="6"/>
  <c r="AI10" i="6"/>
  <c r="F10" i="6"/>
  <c r="AI8" i="6"/>
  <c r="F8" i="6"/>
  <c r="AI7" i="6"/>
  <c r="F7" i="6"/>
  <c r="AI6" i="6"/>
  <c r="F6" i="6"/>
  <c r="AI5" i="6"/>
  <c r="F5" i="6"/>
  <c r="AI4" i="6"/>
  <c r="F4" i="6"/>
  <c r="AI3" i="6"/>
  <c r="F3" i="6"/>
  <c r="Y3" i="4"/>
  <c r="AB3" i="4"/>
  <c r="AE3" i="4"/>
  <c r="AH3" i="4"/>
  <c r="Y4" i="4"/>
  <c r="AB4" i="4"/>
  <c r="AE4" i="4"/>
  <c r="AH4" i="4"/>
  <c r="Y5" i="4"/>
  <c r="AB5" i="4"/>
  <c r="AE5" i="4"/>
  <c r="AH5" i="4"/>
  <c r="Y6" i="4"/>
  <c r="AB6" i="4"/>
  <c r="AE6" i="4"/>
  <c r="AH6" i="4"/>
  <c r="Y7" i="4"/>
  <c r="AB7" i="4"/>
  <c r="AE7" i="4"/>
  <c r="AH7" i="4"/>
  <c r="Y8" i="4"/>
  <c r="AB8" i="4"/>
  <c r="AE8" i="4"/>
  <c r="AH8" i="4"/>
  <c r="G5" i="5"/>
  <c r="Y10" i="4"/>
  <c r="AB10" i="4"/>
  <c r="AE10" i="4"/>
  <c r="AH10" i="4"/>
  <c r="Y11" i="4"/>
  <c r="AB11" i="4"/>
  <c r="AE11" i="4"/>
  <c r="AH11" i="4"/>
  <c r="Y12" i="4"/>
  <c r="AB12" i="4"/>
  <c r="AE12" i="4"/>
  <c r="AH12" i="4"/>
  <c r="Y13" i="4"/>
  <c r="AB13" i="4"/>
  <c r="AE13" i="4"/>
  <c r="AH13" i="4"/>
  <c r="Y14" i="4"/>
  <c r="AB14" i="4"/>
  <c r="AE14" i="4"/>
  <c r="AH14" i="4"/>
  <c r="Y15" i="4"/>
  <c r="AB15" i="4"/>
  <c r="AE15" i="4"/>
  <c r="AH15" i="4"/>
  <c r="G6" i="5"/>
  <c r="Y17" i="4"/>
  <c r="AB17" i="4"/>
  <c r="AE17" i="4"/>
  <c r="AH17" i="4"/>
  <c r="Y18" i="4"/>
  <c r="AB18" i="4"/>
  <c r="AE18" i="4"/>
  <c r="AH18" i="4"/>
  <c r="Y19" i="4"/>
  <c r="AB19" i="4"/>
  <c r="AE19" i="4"/>
  <c r="AH19" i="4"/>
  <c r="Y20" i="4"/>
  <c r="AB20" i="4"/>
  <c r="AE20" i="4"/>
  <c r="AH20" i="4"/>
  <c r="Y21" i="4"/>
  <c r="AB21" i="4"/>
  <c r="AE21" i="4"/>
  <c r="AH21" i="4"/>
  <c r="Y22" i="4"/>
  <c r="AB22" i="4"/>
  <c r="AE22" i="4"/>
  <c r="AH22" i="4"/>
  <c r="G7" i="5"/>
  <c r="Y24" i="4"/>
  <c r="AE24" i="4"/>
  <c r="AH24" i="4"/>
  <c r="Y25" i="4"/>
  <c r="AB25" i="4"/>
  <c r="AE25" i="4"/>
  <c r="AH25" i="4"/>
  <c r="Y26" i="4"/>
  <c r="AB26" i="4"/>
  <c r="AE26" i="4"/>
  <c r="AH26" i="4"/>
  <c r="Y27" i="4"/>
  <c r="AB27" i="4"/>
  <c r="AE27" i="4"/>
  <c r="AH27" i="4"/>
  <c r="Y28" i="4"/>
  <c r="AB28" i="4"/>
  <c r="AE28" i="4"/>
  <c r="AH28" i="4"/>
  <c r="Y29" i="4"/>
  <c r="AB29" i="4"/>
  <c r="AE29" i="4"/>
  <c r="AH29" i="4"/>
  <c r="G8" i="5"/>
  <c r="Y34" i="4"/>
  <c r="AB34" i="4"/>
  <c r="AH34" i="4"/>
  <c r="Y31" i="4"/>
  <c r="AB31" i="4"/>
  <c r="AE31" i="4"/>
  <c r="AH31" i="4"/>
  <c r="Y32" i="4"/>
  <c r="AB32" i="4"/>
  <c r="AE32" i="4"/>
  <c r="AH32" i="4"/>
  <c r="Y33" i="4"/>
  <c r="AB33" i="4"/>
  <c r="AE33" i="4"/>
  <c r="AH33" i="4"/>
  <c r="Y35" i="4"/>
  <c r="AB35" i="4"/>
  <c r="AE35" i="4"/>
  <c r="AH35" i="4"/>
  <c r="Y36" i="4"/>
  <c r="AB36" i="4"/>
  <c r="AE36" i="4"/>
  <c r="AH36" i="4"/>
  <c r="G9" i="5"/>
  <c r="C5" i="5"/>
  <c r="C6" i="5"/>
  <c r="C7" i="5"/>
  <c r="C8" i="5"/>
  <c r="C9" i="5"/>
  <c r="M27" i="4"/>
  <c r="M29" i="4"/>
  <c r="N28" i="4"/>
  <c r="N29" i="4"/>
  <c r="N27" i="4"/>
  <c r="M24" i="4"/>
  <c r="M26" i="4"/>
  <c r="N25" i="4"/>
  <c r="N26" i="4"/>
  <c r="N24" i="4"/>
  <c r="H9" i="5"/>
  <c r="AA24" i="4"/>
  <c r="AD24" i="4"/>
  <c r="AG24" i="4"/>
  <c r="AJ24" i="4"/>
  <c r="AA25" i="4"/>
  <c r="AD25" i="4"/>
  <c r="AG25" i="4"/>
  <c r="AJ25" i="4"/>
  <c r="AA26" i="4"/>
  <c r="AD26" i="4"/>
  <c r="AG26" i="4"/>
  <c r="AJ26" i="4"/>
  <c r="AA27" i="4"/>
  <c r="AD27" i="4"/>
  <c r="AG27" i="4"/>
  <c r="AJ27" i="4"/>
  <c r="AA28" i="4"/>
  <c r="AD28" i="4"/>
  <c r="AG28" i="4"/>
  <c r="AJ28" i="4"/>
  <c r="AA29" i="4"/>
  <c r="AD29" i="4"/>
  <c r="AG29" i="4"/>
  <c r="AJ29" i="4"/>
  <c r="H8" i="5"/>
  <c r="H6" i="5"/>
  <c r="F9" i="5"/>
  <c r="F8" i="5"/>
  <c r="F6" i="5"/>
  <c r="D8" i="5"/>
  <c r="B8" i="5"/>
  <c r="E21" i="5"/>
  <c r="E20" i="5"/>
  <c r="E19" i="5"/>
  <c r="E8" i="5"/>
  <c r="E18" i="5"/>
  <c r="E17" i="5"/>
  <c r="I21" i="5"/>
  <c r="I20" i="5"/>
  <c r="I19" i="5"/>
  <c r="I18" i="5"/>
  <c r="I17" i="5"/>
  <c r="I9" i="5"/>
  <c r="I8" i="5"/>
  <c r="I6" i="5"/>
  <c r="AI34" i="4"/>
  <c r="AI36" i="4"/>
  <c r="AI35" i="4"/>
  <c r="AI33" i="4"/>
  <c r="AI32" i="4"/>
  <c r="AI31" i="4"/>
  <c r="AI29" i="4"/>
  <c r="AI28" i="4"/>
  <c r="AI27" i="4"/>
  <c r="AI26" i="4"/>
  <c r="AI25" i="4"/>
  <c r="AI24" i="4"/>
  <c r="AI22" i="4"/>
  <c r="AI21" i="4"/>
  <c r="AI20" i="4"/>
  <c r="AI19" i="4"/>
  <c r="AI18" i="4"/>
  <c r="AI17" i="4"/>
  <c r="AI15" i="4"/>
  <c r="AI14" i="4"/>
  <c r="AI13" i="4"/>
  <c r="AI12" i="4"/>
  <c r="AI11" i="4"/>
  <c r="AI10" i="4"/>
  <c r="AI8" i="4"/>
  <c r="AI7" i="4"/>
  <c r="AI6" i="4"/>
  <c r="AI3" i="4"/>
  <c r="AI4" i="4"/>
  <c r="AI5" i="4"/>
  <c r="F29" i="4"/>
  <c r="F28" i="4"/>
  <c r="F27" i="4"/>
  <c r="F26" i="4"/>
  <c r="F25" i="4"/>
  <c r="F24" i="4"/>
  <c r="F19" i="4"/>
  <c r="F20" i="4"/>
  <c r="F21" i="4"/>
  <c r="F22" i="4"/>
  <c r="F18" i="4"/>
  <c r="F17" i="4"/>
  <c r="F12" i="4"/>
  <c r="F11" i="4"/>
  <c r="F10" i="4"/>
  <c r="F8" i="4"/>
  <c r="F7" i="4"/>
  <c r="F6" i="4"/>
  <c r="F13" i="4"/>
  <c r="F14" i="4"/>
  <c r="F15" i="4"/>
  <c r="F3" i="4"/>
  <c r="F4" i="4"/>
  <c r="F5" i="4"/>
</calcChain>
</file>

<file path=xl/sharedStrings.xml><?xml version="1.0" encoding="utf-8"?>
<sst xmlns="http://schemas.openxmlformats.org/spreadsheetml/2006/main" count="239" uniqueCount="107">
  <si>
    <t>Biomass Productivity (g/L/d)</t>
  </si>
  <si>
    <t>Phycocyanin Content (mgPC/gX)</t>
  </si>
  <si>
    <t>Light Intensity</t>
  </si>
  <si>
    <t>Phycocyanin Productivity (mgPC/L/Day)</t>
  </si>
  <si>
    <t>Temperature</t>
  </si>
  <si>
    <t>Average</t>
  </si>
  <si>
    <t>df</t>
  </si>
  <si>
    <t>F</t>
  </si>
  <si>
    <t>Between Groups</t>
  </si>
  <si>
    <t>Within Groups</t>
  </si>
  <si>
    <t>Total</t>
  </si>
  <si>
    <t>Phycocyanin Content</t>
  </si>
  <si>
    <t>Biomass Productivity</t>
  </si>
  <si>
    <t>Date</t>
  </si>
  <si>
    <t>OD750 (1)</t>
  </si>
  <si>
    <t>OD750 (2)</t>
  </si>
  <si>
    <t>Harvest Volume</t>
  </si>
  <si>
    <t>Fx (out)</t>
  </si>
  <si>
    <t>Time</t>
  </si>
  <si>
    <t>Dry-weight analysis</t>
  </si>
  <si>
    <t>Pre-Dried filter 1 (mg)</t>
  </si>
  <si>
    <t>Filter loaded 1 (mg)</t>
  </si>
  <si>
    <t>Pre-Dried filter 2 (mg)</t>
  </si>
  <si>
    <t>Filter loaded 2 (mg)</t>
  </si>
  <si>
    <t>Sample  (ml)</t>
  </si>
  <si>
    <t>Cx (g/l)</t>
  </si>
  <si>
    <t>g/l/d</t>
  </si>
  <si>
    <t>Growthrate</t>
  </si>
  <si>
    <t>/d</t>
  </si>
  <si>
    <r>
      <t>r</t>
    </r>
    <r>
      <rPr>
        <b/>
        <vertAlign val="subscript"/>
        <sz val="11"/>
        <color theme="0"/>
        <rFont val="Calibri"/>
        <family val="2"/>
        <scheme val="minor"/>
      </rPr>
      <t>x</t>
    </r>
  </si>
  <si>
    <t>OD620 (1)</t>
  </si>
  <si>
    <t>OD280 (1)</t>
  </si>
  <si>
    <t>OD 750 (1)</t>
  </si>
  <si>
    <t>OD280 (2)</t>
  </si>
  <si>
    <t>OD620 (2)</t>
  </si>
  <si>
    <t>OD280 (3)</t>
  </si>
  <si>
    <t>OD620 (3)</t>
  </si>
  <si>
    <t>OD750 (3)</t>
  </si>
  <si>
    <t>According to Lawrenz et al (2010):</t>
  </si>
  <si>
    <t>c</t>
  </si>
  <si>
    <t>Phycocyanin Concentration</t>
  </si>
  <si>
    <t>µg/L</t>
  </si>
  <si>
    <t>A</t>
  </si>
  <si>
    <t>Scatter corrected Absorbance (620-750)</t>
  </si>
  <si>
    <t>𝜀</t>
  </si>
  <si>
    <t>molar extinction coefficient PC</t>
  </si>
  <si>
    <t>L/mol/cm</t>
  </si>
  <si>
    <t>d</t>
  </si>
  <si>
    <t>path length of cuvette</t>
  </si>
  <si>
    <t>cm</t>
  </si>
  <si>
    <t>MW</t>
  </si>
  <si>
    <t>Molecular weight</t>
  </si>
  <si>
    <t>g/mol</t>
  </si>
  <si>
    <t>V buffer</t>
  </si>
  <si>
    <t>Volume of buffer</t>
  </si>
  <si>
    <t>L</t>
  </si>
  <si>
    <t>V sample</t>
  </si>
  <si>
    <t>Volume of sample</t>
  </si>
  <si>
    <t>mg PC / L (1)</t>
  </si>
  <si>
    <t>mg PC / L (3)</t>
  </si>
  <si>
    <t>mg PC / g X (3)</t>
  </si>
  <si>
    <t>Purity (3)</t>
  </si>
  <si>
    <t>Purity (1)</t>
  </si>
  <si>
    <t>mg PC / g X (2)</t>
  </si>
  <si>
    <t>Purity (2)</t>
  </si>
  <si>
    <t>mg PC / L (2)</t>
  </si>
  <si>
    <t>Purity (AV)</t>
  </si>
  <si>
    <t>mg PC / L (AV)</t>
  </si>
  <si>
    <t>mg PC / g X (AV)</t>
  </si>
  <si>
    <t>mg PC / g X (1)</t>
  </si>
  <si>
    <t>Purity</t>
  </si>
  <si>
    <t>EP</t>
  </si>
  <si>
    <t>Pearson Correlation</t>
  </si>
  <si>
    <t>Sig. (2-tailed)</t>
  </si>
  <si>
    <t>** Correlation is significant at the 0.01 level (2-tailed).</t>
  </si>
  <si>
    <t>Extract Purity</t>
  </si>
  <si>
    <t>PC Content</t>
  </si>
  <si>
    <t>PC Productivity</t>
  </si>
  <si>
    <t>Sum of Squares</t>
  </si>
  <si>
    <t>Mean Square</t>
  </si>
  <si>
    <t>Sig.</t>
  </si>
  <si>
    <r>
      <t>P</t>
    </r>
    <r>
      <rPr>
        <vertAlign val="subscript"/>
        <sz val="10"/>
        <color rgb="FF000000"/>
        <rFont val="Calibri"/>
      </rPr>
      <t>x</t>
    </r>
  </si>
  <si>
    <r>
      <t>X</t>
    </r>
    <r>
      <rPr>
        <vertAlign val="subscript"/>
        <sz val="10"/>
        <color rgb="FF000000"/>
        <rFont val="Calibri"/>
      </rPr>
      <t>PC</t>
    </r>
    <r>
      <rPr>
        <sz val="10"/>
        <color rgb="FF000000"/>
        <rFont val="Calibri"/>
      </rPr>
      <t> </t>
    </r>
  </si>
  <si>
    <r>
      <t>X</t>
    </r>
    <r>
      <rPr>
        <vertAlign val="subscript"/>
        <sz val="10"/>
        <color rgb="FF000000"/>
        <rFont val="Calibri"/>
      </rPr>
      <t>PC</t>
    </r>
  </si>
  <si>
    <t>EP </t>
  </si>
  <si>
    <t>SPSS Result 1-Way ANOVA Temperature Data</t>
  </si>
  <si>
    <t>SPSS Result 1-Way ANOVA Light Data</t>
  </si>
  <si>
    <t>Temperature </t>
  </si>
  <si>
    <t>0.921**</t>
  </si>
  <si>
    <t>0.977**</t>
  </si>
  <si>
    <t>0.941**</t>
  </si>
  <si>
    <t>0.850**</t>
  </si>
  <si>
    <t>0.832**</t>
  </si>
  <si>
    <t>0.940**</t>
  </si>
  <si>
    <t>SPSS Result Pearson Correlation Temperature Data</t>
  </si>
  <si>
    <t>SPSS Result Pearson Correlation Light Data</t>
  </si>
  <si>
    <t>-0.755**</t>
  </si>
  <si>
    <t>-0.745**</t>
  </si>
  <si>
    <t>-0.721**</t>
  </si>
  <si>
    <t>-0.689**</t>
  </si>
  <si>
    <t>0.971**</t>
  </si>
  <si>
    <t>˚C</t>
  </si>
  <si>
    <r>
      <t>𝑃</t>
    </r>
    <r>
      <rPr>
        <vertAlign val="subscript"/>
        <sz val="12"/>
        <color theme="1"/>
        <rFont val="Calibri"/>
        <family val="2"/>
        <scheme val="minor"/>
      </rPr>
      <t>𝑋</t>
    </r>
    <r>
      <rPr>
        <sz val="12"/>
        <color theme="1"/>
        <rFont val="Calibri"/>
        <family val="2"/>
        <scheme val="minor"/>
      </rPr>
      <t>, g</t>
    </r>
    <r>
      <rPr>
        <vertAlign val="subscript"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>·L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·d</t>
    </r>
    <r>
      <rPr>
        <vertAlign val="superscript"/>
        <sz val="12"/>
        <color theme="1"/>
        <rFont val="Calibri"/>
        <family val="2"/>
        <scheme val="minor"/>
      </rPr>
      <t>-1</t>
    </r>
  </si>
  <si>
    <r>
      <t>𝑋</t>
    </r>
    <r>
      <rPr>
        <vertAlign val="subscript"/>
        <sz val="12"/>
        <color rgb="FF595959"/>
        <rFont val="Calibri"/>
        <family val="2"/>
        <scheme val="minor"/>
      </rPr>
      <t>𝑃𝐶</t>
    </r>
    <r>
      <rPr>
        <sz val="12"/>
        <color rgb="FF595959"/>
        <rFont val="Calibri"/>
        <family val="2"/>
        <scheme val="minor"/>
      </rPr>
      <t>, mg</t>
    </r>
    <r>
      <rPr>
        <vertAlign val="subscript"/>
        <sz val="12"/>
        <color rgb="FF595959"/>
        <rFont val="Calibri"/>
        <family val="2"/>
        <scheme val="minor"/>
      </rPr>
      <t>PC</t>
    </r>
    <r>
      <rPr>
        <sz val="12"/>
        <color rgb="FF595959"/>
        <rFont val="Calibri"/>
        <family val="2"/>
        <scheme val="minor"/>
      </rPr>
      <t>·g</t>
    </r>
    <r>
      <rPr>
        <vertAlign val="subscript"/>
        <sz val="12"/>
        <color rgb="FF595959"/>
        <rFont val="Calibri"/>
        <family val="2"/>
        <scheme val="minor"/>
      </rPr>
      <t>X</t>
    </r>
    <r>
      <rPr>
        <vertAlign val="superscript"/>
        <sz val="12"/>
        <color rgb="FF595959"/>
        <rFont val="Calibri"/>
        <family val="2"/>
        <scheme val="minor"/>
      </rPr>
      <t>−1</t>
    </r>
  </si>
  <si>
    <r>
      <t>𝑃</t>
    </r>
    <r>
      <rPr>
        <i/>
        <vertAlign val="subscript"/>
        <sz val="12"/>
        <color rgb="FF595959"/>
        <rFont val="Calibri"/>
        <family val="2"/>
        <scheme val="minor"/>
      </rPr>
      <t>PC</t>
    </r>
    <r>
      <rPr>
        <sz val="12"/>
        <color rgb="FF595959"/>
        <rFont val="Calibri"/>
        <family val="2"/>
        <scheme val="minor"/>
      </rPr>
      <t>, mg</t>
    </r>
    <r>
      <rPr>
        <vertAlign val="subscript"/>
        <sz val="12"/>
        <color rgb="FF595959"/>
        <rFont val="Calibri"/>
        <family val="2"/>
        <scheme val="minor"/>
      </rPr>
      <t>PC</t>
    </r>
    <r>
      <rPr>
        <sz val="12"/>
        <color rgb="FF595959"/>
        <rFont val="Calibri"/>
        <family val="2"/>
        <scheme val="minor"/>
      </rPr>
      <t>·L</t>
    </r>
    <r>
      <rPr>
        <vertAlign val="superscript"/>
        <sz val="12"/>
        <color rgb="FF595959"/>
        <rFont val="Calibri"/>
        <family val="2"/>
        <scheme val="minor"/>
      </rPr>
      <t>-1</t>
    </r>
    <r>
      <rPr>
        <sz val="12"/>
        <color rgb="FF595959"/>
        <rFont val="Calibri"/>
        <family val="2"/>
        <scheme val="minor"/>
      </rPr>
      <t>·d</t>
    </r>
    <r>
      <rPr>
        <vertAlign val="superscript"/>
        <sz val="12"/>
        <color rgb="FF595959"/>
        <rFont val="Calibri"/>
        <family val="2"/>
        <scheme val="minor"/>
      </rPr>
      <t>-1</t>
    </r>
  </si>
  <si>
    <r>
      <t>µmol·m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>·s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 xml:space="preserve"> </t>
    </r>
  </si>
  <si>
    <t>St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</si>
</sst>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6100"/>
      <name val="Calibri"/>
      <family val="2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</font>
    <font>
      <vertAlign val="subscript"/>
      <sz val="10"/>
      <color rgb="FF000000"/>
      <name val="Calibri"/>
    </font>
    <font>
      <b/>
      <sz val="10"/>
      <color rgb="FF000000"/>
      <name val="Calibri"/>
    </font>
    <font>
      <b/>
      <sz val="12"/>
      <color rgb="FF000000"/>
      <name val="Calibri"/>
      <scheme val="minor"/>
    </font>
    <font>
      <b/>
      <sz val="10"/>
      <color theme="1"/>
      <name val="Calibri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595959"/>
      <name val="Calibri"/>
      <family val="2"/>
      <scheme val="minor"/>
    </font>
    <font>
      <vertAlign val="subscript"/>
      <sz val="12"/>
      <color rgb="FF595959"/>
      <name val="Calibri"/>
      <family val="2"/>
      <scheme val="minor"/>
    </font>
    <font>
      <vertAlign val="superscript"/>
      <sz val="12"/>
      <color rgb="FF595959"/>
      <name val="Calibri"/>
      <family val="2"/>
      <scheme val="minor"/>
    </font>
    <font>
      <i/>
      <vertAlign val="subscript"/>
      <sz val="12"/>
      <color rgb="FF59595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6">
    <xf numFmtId="0" fontId="0" fillId="0" borderId="0"/>
    <xf numFmtId="9" fontId="2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4" fillId="0" borderId="0"/>
    <xf numFmtId="0" fontId="5" fillId="2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2" applyNumberFormat="0" applyFon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2"/>
    <xf numFmtId="0" fontId="0" fillId="0" borderId="0" xfId="2" applyFont="1"/>
    <xf numFmtId="0" fontId="3" fillId="0" borderId="0" xfId="2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0" xfId="0" applyFill="1"/>
    <xf numFmtId="0" fontId="0" fillId="6" borderId="3" xfId="0" applyFill="1" applyBorder="1"/>
    <xf numFmtId="0" fontId="0" fillId="0" borderId="3" xfId="0" applyBorder="1" applyAlignment="1">
      <alignment horizontal="center" vertical="center"/>
    </xf>
    <xf numFmtId="2" fontId="0" fillId="0" borderId="3" xfId="0" applyNumberFormat="1" applyBorder="1"/>
    <xf numFmtId="16" fontId="0" fillId="6" borderId="3" xfId="0" applyNumberFormat="1" applyFill="1" applyBorder="1"/>
    <xf numFmtId="20" fontId="0" fillId="6" borderId="3" xfId="0" applyNumberFormat="1" applyFill="1" applyBorder="1"/>
    <xf numFmtId="0" fontId="0" fillId="6" borderId="3" xfId="0" applyFill="1" applyBorder="1" applyAlignment="1">
      <alignment horizontal="center" vertical="center"/>
    </xf>
    <xf numFmtId="2" fontId="0" fillId="6" borderId="3" xfId="0" applyNumberFormat="1" applyFill="1" applyBorder="1"/>
    <xf numFmtId="0" fontId="0" fillId="7" borderId="0" xfId="0" applyFill="1"/>
    <xf numFmtId="0" fontId="0" fillId="7" borderId="0" xfId="0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0" xfId="0" applyFont="1"/>
    <xf numFmtId="0" fontId="7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 wrapText="1"/>
    </xf>
    <xf numFmtId="0" fontId="7" fillId="8" borderId="3" xfId="7" applyFont="1" applyFill="1" applyBorder="1" applyAlignment="1">
      <alignment horizontal="center" vertical="center" wrapText="1"/>
    </xf>
    <xf numFmtId="16" fontId="0" fillId="7" borderId="7" xfId="0" applyNumberFormat="1" applyFill="1" applyBorder="1"/>
    <xf numFmtId="20" fontId="0" fillId="7" borderId="7" xfId="0" applyNumberFormat="1" applyFill="1" applyBorder="1"/>
    <xf numFmtId="0" fontId="0" fillId="7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/>
    <xf numFmtId="2" fontId="0" fillId="7" borderId="7" xfId="0" applyNumberFormat="1" applyFill="1" applyBorder="1"/>
    <xf numFmtId="0" fontId="9" fillId="10" borderId="3" xfId="0" applyFont="1" applyFill="1" applyBorder="1" applyAlignment="1">
      <alignment horizontal="center"/>
    </xf>
    <xf numFmtId="0" fontId="0" fillId="9" borderId="8" xfId="0" applyFill="1" applyBorder="1"/>
    <xf numFmtId="0" fontId="0" fillId="9" borderId="0" xfId="0" applyFill="1"/>
    <xf numFmtId="0" fontId="0" fillId="9" borderId="9" xfId="0" applyFill="1" applyBorder="1"/>
    <xf numFmtId="0" fontId="0" fillId="9" borderId="10" xfId="0" applyFill="1" applyBorder="1"/>
    <xf numFmtId="0" fontId="0" fillId="9" borderId="1" xfId="0" applyFill="1" applyBorder="1"/>
    <xf numFmtId="0" fontId="0" fillId="9" borderId="11" xfId="0" applyFill="1" applyBorder="1"/>
    <xf numFmtId="2" fontId="0" fillId="0" borderId="3" xfId="0" applyNumberForma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 wrapText="1"/>
    </xf>
    <xf numFmtId="0" fontId="7" fillId="8" borderId="7" xfId="7" applyFont="1" applyFill="1" applyBorder="1" applyAlignment="1">
      <alignment horizontal="center" vertical="center" wrapText="1"/>
    </xf>
    <xf numFmtId="2" fontId="0" fillId="0" borderId="3" xfId="1" applyNumberFormat="1" applyFont="1" applyBorder="1"/>
    <xf numFmtId="2" fontId="0" fillId="6" borderId="3" xfId="0" applyNumberFormat="1" applyFill="1" applyBorder="1" applyAlignment="1">
      <alignment horizontal="center" vertical="center"/>
    </xf>
    <xf numFmtId="2" fontId="0" fillId="6" borderId="3" xfId="1" applyNumberFormat="1" applyFont="1" applyFill="1" applyBorder="1"/>
    <xf numFmtId="165" fontId="0" fillId="0" borderId="0" xfId="1" applyNumberFormat="1" applyFont="1"/>
    <xf numFmtId="2" fontId="0" fillId="0" borderId="0" xfId="2" applyNumberFormat="1" applyFont="1"/>
    <xf numFmtId="0" fontId="13" fillId="0" borderId="1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5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164" fontId="13" fillId="0" borderId="15" xfId="0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164" fontId="13" fillId="0" borderId="14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164" fontId="15" fillId="0" borderId="0" xfId="0" applyNumberFormat="1" applyFont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2" fillId="0" borderId="0" xfId="0" applyFont="1"/>
    <xf numFmtId="0" fontId="16" fillId="0" borderId="0" xfId="0" applyFont="1"/>
    <xf numFmtId="0" fontId="13" fillId="0" borderId="15" xfId="0" applyFont="1" applyBorder="1" applyAlignment="1">
      <alignment horizontal="right" vertical="center"/>
    </xf>
    <xf numFmtId="0" fontId="15" fillId="0" borderId="15" xfId="0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164" fontId="13" fillId="0" borderId="0" xfId="0" applyNumberFormat="1" applyFont="1" applyAlignment="1">
      <alignment horizontal="right" vertical="center"/>
    </xf>
    <xf numFmtId="0" fontId="13" fillId="0" borderId="14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164" fontId="13" fillId="0" borderId="15" xfId="0" applyNumberFormat="1" applyFont="1" applyBorder="1" applyAlignment="1">
      <alignment horizontal="right" vertical="center"/>
    </xf>
    <xf numFmtId="1" fontId="13" fillId="0" borderId="15" xfId="0" applyNumberFormat="1" applyFont="1" applyBorder="1" applyAlignment="1">
      <alignment horizontal="right" vertical="center"/>
    </xf>
    <xf numFmtId="1" fontId="13" fillId="0" borderId="14" xfId="0" applyNumberFormat="1" applyFont="1" applyBorder="1" applyAlignment="1">
      <alignment horizontal="right" vertical="center"/>
    </xf>
    <xf numFmtId="0" fontId="17" fillId="0" borderId="0" xfId="0" applyFont="1"/>
    <xf numFmtId="0" fontId="0" fillId="0" borderId="0" xfId="2" applyFont="1" applyAlignment="1">
      <alignment horizontal="center" vertical="center" wrapText="1"/>
    </xf>
    <xf numFmtId="0" fontId="0" fillId="0" borderId="9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9" xfId="2" applyNumberFormat="1" applyFont="1" applyBorder="1"/>
    <xf numFmtId="2" fontId="0" fillId="0" borderId="1" xfId="2" applyNumberFormat="1" applyFont="1" applyBorder="1"/>
    <xf numFmtId="2" fontId="0" fillId="0" borderId="11" xfId="2" applyNumberFormat="1" applyFont="1" applyBorder="1"/>
    <xf numFmtId="0" fontId="0" fillId="0" borderId="17" xfId="2" applyFont="1" applyBorder="1"/>
    <xf numFmtId="0" fontId="0" fillId="0" borderId="18" xfId="2" applyFont="1" applyBorder="1" applyAlignment="1">
      <alignment horizontal="center" vertical="center" wrapText="1"/>
    </xf>
    <xf numFmtId="0" fontId="0" fillId="0" borderId="18" xfId="2" applyFont="1" applyBorder="1"/>
    <xf numFmtId="0" fontId="0" fillId="0" borderId="19" xfId="2" applyFont="1" applyBorder="1"/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2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readingOrder="1"/>
    </xf>
    <xf numFmtId="0" fontId="20" fillId="0" borderId="11" xfId="0" applyFont="1" applyBorder="1" applyAlignment="1">
      <alignment horizontal="center" vertical="center" readingOrder="1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7" fillId="8" borderId="7" xfId="6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 applyAlignment="1">
      <alignment vertical="center"/>
    </xf>
  </cellXfs>
  <cellStyles count="66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Good 2" xfId="5" xr:uid="{00000000-0005-0000-0000-00001D000000}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eutral" xfId="6" builtinId="28"/>
    <cellStyle name="Normal" xfId="0" builtinId="0"/>
    <cellStyle name="Normal 2" xfId="2" xr:uid="{00000000-0005-0000-0000-00003D000000}"/>
    <cellStyle name="Normal 3" xfId="4" xr:uid="{00000000-0005-0000-0000-00003E000000}"/>
    <cellStyle name="Note" xfId="7" builtinId="10"/>
    <cellStyle name="Percent" xfId="1" builtinId="5"/>
    <cellStyle name="Percent 2" xfId="3" xr:uid="{00000000-0005-0000-0000-000041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06188084428199"/>
          <c:y val="5.6521739130434803E-2"/>
          <c:w val="0.65527091147032801"/>
          <c:h val="0.660423561808871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Summary!$B$14</c:f>
              <c:strCache>
                <c:ptCount val="1"/>
                <c:pt idx="0">
                  <c:v>Biomass Productivity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Summary!$F$16:$F$21</c:f>
                <c:numCache>
                  <c:formatCode>General</c:formatCode>
                  <c:ptCount val="6"/>
                  <c:pt idx="0">
                    <c:v>2.6509665223467292E-2</c:v>
                  </c:pt>
                  <c:pt idx="1">
                    <c:v>3.2674266122849786E-2</c:v>
                  </c:pt>
                  <c:pt idx="2">
                    <c:v>2.4231825959327317E-2</c:v>
                  </c:pt>
                  <c:pt idx="3">
                    <c:v>1.8791865621635748E-2</c:v>
                  </c:pt>
                  <c:pt idx="4">
                    <c:v>3.3669617535702051E-2</c:v>
                  </c:pt>
                  <c:pt idx="5">
                    <c:v>1.3201481403613394E-2</c:v>
                  </c:pt>
                </c:numCache>
              </c:numRef>
            </c:plus>
            <c:minus>
              <c:numRef>
                <c:f>Summary!$F$16:$F$21</c:f>
                <c:numCache>
                  <c:formatCode>General</c:formatCode>
                  <c:ptCount val="6"/>
                  <c:pt idx="0">
                    <c:v>2.6509665223467292E-2</c:v>
                  </c:pt>
                  <c:pt idx="1">
                    <c:v>3.2674266122849786E-2</c:v>
                  </c:pt>
                  <c:pt idx="2">
                    <c:v>2.4231825959327317E-2</c:v>
                  </c:pt>
                  <c:pt idx="3">
                    <c:v>1.8791865621635748E-2</c:v>
                  </c:pt>
                  <c:pt idx="4">
                    <c:v>3.3669617535702051E-2</c:v>
                  </c:pt>
                  <c:pt idx="5">
                    <c:v>1.3201481403613394E-2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Summary!$A$16:$A$21</c:f>
              <c:numCache>
                <c:formatCode>General</c:formatCode>
                <c:ptCount val="6"/>
                <c:pt idx="0">
                  <c:v>80</c:v>
                </c:pt>
                <c:pt idx="1">
                  <c:v>160</c:v>
                </c:pt>
                <c:pt idx="2">
                  <c:v>300</c:v>
                </c:pt>
                <c:pt idx="3">
                  <c:v>700</c:v>
                </c:pt>
                <c:pt idx="4">
                  <c:v>1000</c:v>
                </c:pt>
                <c:pt idx="5">
                  <c:v>1800</c:v>
                </c:pt>
              </c:numCache>
            </c:numRef>
          </c:xVal>
          <c:yVal>
            <c:numRef>
              <c:f>Summary!$B$16:$B$21</c:f>
              <c:numCache>
                <c:formatCode>0.00</c:formatCode>
                <c:ptCount val="6"/>
                <c:pt idx="0">
                  <c:v>0.42628979166667108</c:v>
                </c:pt>
                <c:pt idx="1">
                  <c:v>0.81154166666666283</c:v>
                </c:pt>
                <c:pt idx="2">
                  <c:v>0.84694791666666402</c:v>
                </c:pt>
                <c:pt idx="3">
                  <c:v>0.80321041666666027</c:v>
                </c:pt>
                <c:pt idx="4">
                  <c:v>0.73106249999999717</c:v>
                </c:pt>
                <c:pt idx="5">
                  <c:v>0.71762124999999777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8-FC4B-9DF9-C5735E47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47744"/>
        <c:axId val="1135651712"/>
      </c:scatterChart>
      <c:scatterChart>
        <c:scatterStyle val="lineMarker"/>
        <c:varyColors val="0"/>
        <c:ser>
          <c:idx val="1"/>
          <c:order val="1"/>
          <c:tx>
            <c:strRef>
              <c:f>Summary!$D$14</c:f>
              <c:strCache>
                <c:ptCount val="1"/>
                <c:pt idx="0">
                  <c:v>PC Content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Summary!$H$16:$H$21</c:f>
                <c:numCache>
                  <c:formatCode>General</c:formatCode>
                  <c:ptCount val="6"/>
                  <c:pt idx="0">
                    <c:v>3.2577516331620826</c:v>
                  </c:pt>
                  <c:pt idx="1">
                    <c:v>2.2598570655972483</c:v>
                  </c:pt>
                  <c:pt idx="2">
                    <c:v>2.1075933417351633</c:v>
                  </c:pt>
                  <c:pt idx="3">
                    <c:v>1.3342485570814722</c:v>
                  </c:pt>
                  <c:pt idx="4">
                    <c:v>1.04875992096055</c:v>
                  </c:pt>
                  <c:pt idx="5">
                    <c:v>0.79411799060593902</c:v>
                  </c:pt>
                </c:numCache>
              </c:numRef>
            </c:plus>
            <c:minus>
              <c:numRef>
                <c:f>Summary!$H$16:$H$21</c:f>
                <c:numCache>
                  <c:formatCode>General</c:formatCode>
                  <c:ptCount val="6"/>
                  <c:pt idx="0">
                    <c:v>3.2577516331620826</c:v>
                  </c:pt>
                  <c:pt idx="1">
                    <c:v>2.2598570655972483</c:v>
                  </c:pt>
                  <c:pt idx="2">
                    <c:v>2.1075933417351633</c:v>
                  </c:pt>
                  <c:pt idx="3">
                    <c:v>1.3342485570814722</c:v>
                  </c:pt>
                  <c:pt idx="4">
                    <c:v>1.04875992096055</c:v>
                  </c:pt>
                  <c:pt idx="5">
                    <c:v>0.79411799060593902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Summary!$A$16:$A$21</c:f>
              <c:numCache>
                <c:formatCode>General</c:formatCode>
                <c:ptCount val="6"/>
                <c:pt idx="0">
                  <c:v>80</c:v>
                </c:pt>
                <c:pt idx="1">
                  <c:v>160</c:v>
                </c:pt>
                <c:pt idx="2">
                  <c:v>300</c:v>
                </c:pt>
                <c:pt idx="3">
                  <c:v>700</c:v>
                </c:pt>
                <c:pt idx="4">
                  <c:v>1000</c:v>
                </c:pt>
                <c:pt idx="5">
                  <c:v>1800</c:v>
                </c:pt>
              </c:numCache>
            </c:numRef>
          </c:xVal>
          <c:yVal>
            <c:numRef>
              <c:f>Summary!$D$16:$D$21</c:f>
              <c:numCache>
                <c:formatCode>0.00</c:formatCode>
                <c:ptCount val="6"/>
                <c:pt idx="0">
                  <c:v>86.127131952638464</c:v>
                </c:pt>
                <c:pt idx="1">
                  <c:v>47.570412979226695</c:v>
                </c:pt>
                <c:pt idx="2">
                  <c:v>40.493563359313484</c:v>
                </c:pt>
                <c:pt idx="3">
                  <c:v>27.077439065019551</c:v>
                </c:pt>
                <c:pt idx="4">
                  <c:v>22.932425376236981</c:v>
                </c:pt>
                <c:pt idx="5">
                  <c:v>18.335900800173999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8-FC4B-9DF9-C5735E47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58144"/>
        <c:axId val="1135654976"/>
      </c:scatterChart>
      <c:valAx>
        <c:axId val="11356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Light Intensity (µmol</a:t>
                </a:r>
                <a:r>
                  <a:rPr lang="en-US" sz="900" b="0" i="0" u="none" strike="noStrike" baseline="0">
                    <a:effectLst/>
                  </a:rPr>
                  <a:t>·</a:t>
                </a:r>
                <a:r>
                  <a:rPr lang="en-US" sz="900"/>
                  <a:t>m</a:t>
                </a:r>
                <a:r>
                  <a:rPr lang="en-US" sz="900" b="0" i="0" u="none" strike="noStrike" baseline="30000">
                    <a:effectLst/>
                  </a:rPr>
                  <a:t>-2</a:t>
                </a:r>
                <a:r>
                  <a:rPr lang="en-US" sz="900" b="0" i="0" u="none" strike="noStrike" baseline="0">
                    <a:effectLst/>
                  </a:rPr>
                  <a:t>·</a:t>
                </a:r>
                <a:r>
                  <a:rPr lang="en-US" sz="900"/>
                  <a:t>s</a:t>
                </a:r>
                <a:r>
                  <a:rPr lang="en-US" sz="900" b="0" i="0" u="none" strike="noStrike" baseline="30000">
                    <a:effectLst/>
                  </a:rPr>
                  <a:t>-1</a:t>
                </a:r>
                <a:r>
                  <a:rPr lang="en-US" sz="900" b="0" i="0" u="none" strike="noStrike" baseline="0"/>
                  <a:t> </a:t>
                </a:r>
                <a:r>
                  <a:rPr lang="en-US" sz="9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51712"/>
        <c:crosses val="autoZero"/>
        <c:crossBetween val="midCat"/>
      </c:valAx>
      <c:valAx>
        <c:axId val="11356517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u="none" strike="noStrike" baseline="0">
                    <a:effectLst/>
                  </a:rPr>
                  <a:t>Biomass Productivity (𝑃</a:t>
                </a:r>
                <a:r>
                  <a:rPr lang="en-CA" sz="900" b="0" i="0" u="none" strike="noStrike" baseline="-25000">
                    <a:effectLst/>
                  </a:rPr>
                  <a:t>𝑋</a:t>
                </a:r>
                <a:r>
                  <a:rPr lang="en-CA" sz="900" b="0" i="0" u="none" strike="noStrike" baseline="0">
                    <a:effectLst/>
                  </a:rPr>
                  <a:t>, g</a:t>
                </a:r>
                <a:r>
                  <a:rPr lang="en-CA" sz="900" b="0" i="0" u="none" strike="noStrike" baseline="-25000">
                    <a:effectLst/>
                  </a:rPr>
                  <a:t>X</a:t>
                </a:r>
                <a:r>
                  <a:rPr lang="en-US" sz="900" b="0" i="0" u="none" strike="noStrike" baseline="0">
                    <a:effectLst/>
                  </a:rPr>
                  <a:t>·</a:t>
                </a:r>
                <a:r>
                  <a:rPr lang="en-CA" sz="900" b="0" i="0" u="none" strike="noStrike" baseline="0">
                    <a:effectLst/>
                  </a:rPr>
                  <a:t>L</a:t>
                </a:r>
                <a:r>
                  <a:rPr lang="en-CA" sz="900" b="0" i="0" u="none" strike="noStrike" baseline="30000">
                    <a:effectLst/>
                  </a:rPr>
                  <a:t>-1</a:t>
                </a:r>
                <a:r>
                  <a:rPr lang="en-US" sz="900" b="0" i="0" u="none" strike="noStrike" baseline="0">
                    <a:effectLst/>
                  </a:rPr>
                  <a:t>·</a:t>
                </a:r>
                <a:r>
                  <a:rPr lang="en-CA" sz="900" b="0" i="0" u="none" strike="noStrike" baseline="0">
                    <a:effectLst/>
                  </a:rPr>
                  <a:t>d</a:t>
                </a:r>
                <a:r>
                  <a:rPr lang="en-CA" sz="900" b="0" i="0" u="none" strike="noStrike" baseline="30000">
                    <a:effectLst/>
                  </a:rPr>
                  <a:t>-1</a:t>
                </a:r>
                <a:r>
                  <a:rPr lang="en-US" sz="900" b="0" i="0" u="none" strike="noStrike" baseline="0">
                    <a:effectLst/>
                  </a:rPr>
                  <a:t>)</a:t>
                </a:r>
                <a:endParaRPr lang="en-US" sz="900"/>
              </a:p>
            </c:rich>
          </c:tx>
          <c:layout>
            <c:manualLayout>
              <c:xMode val="edge"/>
              <c:yMode val="edge"/>
              <c:x val="8.9604440773542703E-3"/>
              <c:y val="8.069551685221849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47744"/>
        <c:crosses val="autoZero"/>
        <c:crossBetween val="midCat"/>
        <c:majorUnit val="0.2"/>
      </c:valAx>
      <c:valAx>
        <c:axId val="1135654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u="none" strike="noStrike" baseline="0">
                    <a:effectLst/>
                  </a:rPr>
                  <a:t>Phycocyanin Content (𝑋</a:t>
                </a:r>
                <a:r>
                  <a:rPr lang="en-CA" sz="900" b="0" i="0" u="none" strike="noStrike" baseline="-25000">
                    <a:effectLst/>
                  </a:rPr>
                  <a:t>𝑃𝐶</a:t>
                </a:r>
                <a:r>
                  <a:rPr lang="en-US" sz="900" b="0" i="0" u="none" strike="noStrike" baseline="0">
                    <a:effectLst/>
                  </a:rPr>
                  <a:t>, mg</a:t>
                </a:r>
                <a:r>
                  <a:rPr lang="en-US" sz="900" b="0" i="0" u="none" strike="noStrike" baseline="-25000">
                    <a:effectLst/>
                  </a:rPr>
                  <a:t>PC</a:t>
                </a:r>
                <a:r>
                  <a:rPr lang="en-US" sz="900" b="0" i="0" u="none" strike="noStrike" baseline="0">
                    <a:effectLst/>
                  </a:rPr>
                  <a:t>·g</a:t>
                </a:r>
                <a:r>
                  <a:rPr lang="en-US" sz="900" b="0" i="0" u="none" strike="noStrike" baseline="-25000">
                    <a:effectLst/>
                  </a:rPr>
                  <a:t>X</a:t>
                </a:r>
                <a:r>
                  <a:rPr lang="en-US" sz="900" b="0" i="0" u="none" strike="noStrike" baseline="30000">
                    <a:effectLst/>
                  </a:rPr>
                  <a:t>−1</a:t>
                </a:r>
                <a:r>
                  <a:rPr lang="en-US" sz="900" b="0" i="0" u="none" strike="noStrike" baseline="0">
                    <a:effectLst/>
                  </a:rPr>
                  <a:t>)</a:t>
                </a:r>
                <a:endParaRPr 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58144"/>
        <c:crosses val="max"/>
        <c:crossBetween val="midCat"/>
        <c:majorUnit val="20"/>
      </c:valAx>
      <c:valAx>
        <c:axId val="11356581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13565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202414113277601E-2"/>
          <c:y val="0.87320733750618496"/>
          <c:w val="0.98379758588672195"/>
          <c:h val="7.8281085867574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0392016897499"/>
          <c:y val="5.7331863285556797E-2"/>
          <c:w val="0.62339215966205097"/>
          <c:h val="0.6646933300922830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'Summary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Summary!$A$16:$A$21</c:f>
              <c:numCache>
                <c:formatCode>General</c:formatCode>
                <c:ptCount val="6"/>
                <c:pt idx="0">
                  <c:v>80</c:v>
                </c:pt>
                <c:pt idx="1">
                  <c:v>160</c:v>
                </c:pt>
                <c:pt idx="2">
                  <c:v>300</c:v>
                </c:pt>
                <c:pt idx="3">
                  <c:v>700</c:v>
                </c:pt>
                <c:pt idx="4">
                  <c:v>1000</c:v>
                </c:pt>
                <c:pt idx="5">
                  <c:v>1800</c:v>
                </c:pt>
              </c:numCache>
            </c:numRef>
          </c:cat>
          <c:val>
            <c:numRef>
              <c:f>'Summary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D-4F7C-B542-2145A909C696}"/>
            </c:ext>
          </c:extLst>
        </c:ser>
        <c:ser>
          <c:idx val="1"/>
          <c:order val="3"/>
          <c:tx>
            <c:strRef>
              <c:f>Summary!$E$3</c:f>
              <c:strCache>
                <c:ptCount val="1"/>
                <c:pt idx="0">
                  <c:v>PC Productivity</c:v>
                </c:pt>
              </c:strCache>
            </c:strRef>
          </c:tx>
          <c:spPr>
            <a:pattFill prst="ltDn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Summary!$I$16:$I$21</c:f>
                <c:numCache>
                  <c:formatCode>General</c:formatCode>
                  <c:ptCount val="6"/>
                  <c:pt idx="0">
                    <c:v>2.6723818926332439</c:v>
                  </c:pt>
                  <c:pt idx="1">
                    <c:v>2.4040332389750336</c:v>
                  </c:pt>
                  <c:pt idx="2">
                    <c:v>2.0369391132977621</c:v>
                  </c:pt>
                  <c:pt idx="3">
                    <c:v>1.18634594481634</c:v>
                  </c:pt>
                  <c:pt idx="4">
                    <c:v>1.0881274345396057</c:v>
                  </c:pt>
                  <c:pt idx="5">
                    <c:v>0.61915438006494972</c:v>
                  </c:pt>
                </c:numCache>
              </c:numRef>
            </c:plus>
            <c:minus>
              <c:numRef>
                <c:f>Summary!$I$16:$I$21</c:f>
                <c:numCache>
                  <c:formatCode>General</c:formatCode>
                  <c:ptCount val="6"/>
                  <c:pt idx="0">
                    <c:v>2.6723818926332439</c:v>
                  </c:pt>
                  <c:pt idx="1">
                    <c:v>2.4040332389750336</c:v>
                  </c:pt>
                  <c:pt idx="2">
                    <c:v>2.0369391132977621</c:v>
                  </c:pt>
                  <c:pt idx="3">
                    <c:v>1.18634594481634</c:v>
                  </c:pt>
                  <c:pt idx="4">
                    <c:v>1.0881274345396057</c:v>
                  </c:pt>
                  <c:pt idx="5">
                    <c:v>0.61915438006494972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Summary!$A$16:$A$21</c:f>
              <c:numCache>
                <c:formatCode>General</c:formatCode>
                <c:ptCount val="6"/>
                <c:pt idx="0">
                  <c:v>80</c:v>
                </c:pt>
                <c:pt idx="1">
                  <c:v>160</c:v>
                </c:pt>
                <c:pt idx="2">
                  <c:v>300</c:v>
                </c:pt>
                <c:pt idx="3">
                  <c:v>700</c:v>
                </c:pt>
                <c:pt idx="4">
                  <c:v>1000</c:v>
                </c:pt>
                <c:pt idx="5">
                  <c:v>1800</c:v>
                </c:pt>
              </c:numCache>
            </c:numRef>
          </c:cat>
          <c:val>
            <c:numRef>
              <c:f>Summary!$E$16:$E$21</c:f>
              <c:numCache>
                <c:formatCode>0.00</c:formatCode>
                <c:ptCount val="6"/>
                <c:pt idx="0">
                  <c:v>36.71511713693814</c:v>
                </c:pt>
                <c:pt idx="1">
                  <c:v>38.605372233183083</c:v>
                </c:pt>
                <c:pt idx="2">
                  <c:v>34.295939125580119</c:v>
                </c:pt>
                <c:pt idx="3">
                  <c:v>21.748881113680458</c:v>
                </c:pt>
                <c:pt idx="4">
                  <c:v>16.765036226615184</c:v>
                </c:pt>
                <c:pt idx="5">
                  <c:v>13.158232052096825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D-4F7C-B542-2145A909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135807152"/>
        <c:axId val="1135810000"/>
      </c:barChar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Extract Purity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Summary!$G$16:$G$21</c:f>
                <c:numCache>
                  <c:formatCode>General</c:formatCode>
                  <c:ptCount val="6"/>
                  <c:pt idx="0">
                    <c:v>0.39105798173958356</c:v>
                  </c:pt>
                  <c:pt idx="1">
                    <c:v>0.28940175979487159</c:v>
                  </c:pt>
                  <c:pt idx="2">
                    <c:v>0.59018325973114916</c:v>
                  </c:pt>
                  <c:pt idx="3">
                    <c:v>8.4626877530795036E-2</c:v>
                  </c:pt>
                  <c:pt idx="4">
                    <c:v>0.19912583577745291</c:v>
                  </c:pt>
                  <c:pt idx="5">
                    <c:v>0.31161821080326169</c:v>
                  </c:pt>
                </c:numCache>
              </c:numRef>
            </c:plus>
            <c:minus>
              <c:numRef>
                <c:f>Summary!$G$16:$G$21</c:f>
                <c:numCache>
                  <c:formatCode>General</c:formatCode>
                  <c:ptCount val="6"/>
                  <c:pt idx="0">
                    <c:v>0.39105798173958356</c:v>
                  </c:pt>
                  <c:pt idx="1">
                    <c:v>0.28940175979487159</c:v>
                  </c:pt>
                  <c:pt idx="2">
                    <c:v>0.59018325973114916</c:v>
                  </c:pt>
                  <c:pt idx="3">
                    <c:v>8.4626877530795036E-2</c:v>
                  </c:pt>
                  <c:pt idx="4">
                    <c:v>0.19912583577745291</c:v>
                  </c:pt>
                  <c:pt idx="5">
                    <c:v>0.31161821080326169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Summary!$A$16:$A$21</c:f>
              <c:numCache>
                <c:formatCode>General</c:formatCode>
                <c:ptCount val="6"/>
                <c:pt idx="0">
                  <c:v>80</c:v>
                </c:pt>
                <c:pt idx="1">
                  <c:v>160</c:v>
                </c:pt>
                <c:pt idx="2">
                  <c:v>300</c:v>
                </c:pt>
                <c:pt idx="3">
                  <c:v>700</c:v>
                </c:pt>
                <c:pt idx="4">
                  <c:v>1000</c:v>
                </c:pt>
                <c:pt idx="5">
                  <c:v>1800</c:v>
                </c:pt>
              </c:numCache>
            </c:numRef>
          </c:cat>
          <c:val>
            <c:numRef>
              <c:f>Summary!$C$16:$C$21</c:f>
              <c:numCache>
                <c:formatCode>0.00</c:formatCode>
                <c:ptCount val="6"/>
                <c:pt idx="0">
                  <c:v>7.5140011692714985</c:v>
                </c:pt>
                <c:pt idx="1">
                  <c:v>4.2752891163830382</c:v>
                </c:pt>
                <c:pt idx="2">
                  <c:v>3.3672952669282665</c:v>
                </c:pt>
                <c:pt idx="3">
                  <c:v>2.2563735178376145</c:v>
                </c:pt>
                <c:pt idx="4">
                  <c:v>1.9176065313580326</c:v>
                </c:pt>
                <c:pt idx="5">
                  <c:v>1.421701733298983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D-4F7C-B542-2145A909C696}"/>
            </c:ext>
          </c:extLst>
        </c:ser>
        <c:ser>
          <c:idx val="3"/>
          <c:order val="2"/>
          <c:tx>
            <c:strRef>
              <c:f>'Summary (2)'!#REF!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Summary!$A$16:$A$21</c:f>
              <c:numCache>
                <c:formatCode>General</c:formatCode>
                <c:ptCount val="6"/>
                <c:pt idx="0">
                  <c:v>80</c:v>
                </c:pt>
                <c:pt idx="1">
                  <c:v>160</c:v>
                </c:pt>
                <c:pt idx="2">
                  <c:v>300</c:v>
                </c:pt>
                <c:pt idx="3">
                  <c:v>700</c:v>
                </c:pt>
                <c:pt idx="4">
                  <c:v>1000</c:v>
                </c:pt>
                <c:pt idx="5">
                  <c:v>1800</c:v>
                </c:pt>
              </c:numCache>
            </c:numRef>
          </c:cat>
          <c:val>
            <c:numRef>
              <c:f>'Summary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D-4F7C-B542-2145A909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135816128"/>
        <c:axId val="1135812848"/>
      </c:barChart>
      <c:catAx>
        <c:axId val="113580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Light Intensity (µmol·m</a:t>
                </a:r>
                <a:r>
                  <a:rPr lang="en-US" sz="900" b="0" i="0" baseline="30000">
                    <a:effectLst/>
                  </a:rPr>
                  <a:t>-2</a:t>
                </a:r>
                <a:r>
                  <a:rPr lang="en-US" sz="900" b="0" i="0" baseline="0">
                    <a:effectLst/>
                  </a:rPr>
                  <a:t>·s</a:t>
                </a:r>
                <a:r>
                  <a:rPr lang="en-US" sz="900" b="0" i="0" baseline="30000">
                    <a:effectLst/>
                  </a:rPr>
                  <a:t>-1</a:t>
                </a:r>
                <a:r>
                  <a:rPr lang="en-US" sz="900" b="0" i="0" baseline="0">
                    <a:effectLst/>
                  </a:rPr>
                  <a:t> 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10000"/>
        <c:crosses val="autoZero"/>
        <c:auto val="1"/>
        <c:lblAlgn val="ctr"/>
        <c:lblOffset val="100"/>
        <c:noMultiLvlLbl val="0"/>
      </c:catAx>
      <c:valAx>
        <c:axId val="1135810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baseline="0">
                    <a:effectLst/>
                  </a:rPr>
                  <a:t>Phycocyanin Productivity (𝑃</a:t>
                </a:r>
                <a:r>
                  <a:rPr lang="en-CA" sz="900" b="0" i="1" baseline="-25000">
                    <a:effectLst/>
                  </a:rPr>
                  <a:t>PC</a:t>
                </a:r>
                <a:r>
                  <a:rPr lang="en-CA" sz="900" b="0" i="0" baseline="0">
                    <a:effectLst/>
                  </a:rPr>
                  <a:t>, mg</a:t>
                </a:r>
                <a:r>
                  <a:rPr lang="en-CA" sz="900" b="0" i="0" baseline="-25000">
                    <a:effectLst/>
                  </a:rPr>
                  <a:t>PC</a:t>
                </a:r>
                <a:r>
                  <a:rPr lang="en-CA" sz="900" b="0" i="0" baseline="0">
                    <a:effectLst/>
                  </a:rPr>
                  <a:t>·L</a:t>
                </a:r>
                <a:r>
                  <a:rPr lang="en-CA" sz="900" b="0" i="0" baseline="30000">
                    <a:effectLst/>
                  </a:rPr>
                  <a:t>-1</a:t>
                </a:r>
                <a:r>
                  <a:rPr lang="en-CA" sz="900" b="0" i="0" baseline="0">
                    <a:effectLst/>
                  </a:rPr>
                  <a:t>·d</a:t>
                </a:r>
                <a:r>
                  <a:rPr lang="en-CA" sz="900" b="0" i="0" baseline="30000">
                    <a:effectLst/>
                  </a:rPr>
                  <a:t>-1</a:t>
                </a:r>
                <a:r>
                  <a:rPr lang="en-CA" sz="900" b="0" i="0" baseline="0">
                    <a:effectLst/>
                  </a:rPr>
                  <a:t>)</a:t>
                </a:r>
                <a:endParaRPr lang="en-CA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07152"/>
        <c:crosses val="autoZero"/>
        <c:crossBetween val="between"/>
        <c:majorUnit val="20"/>
      </c:valAx>
      <c:valAx>
        <c:axId val="1135812848"/>
        <c:scaling>
          <c:orientation val="minMax"/>
          <c:max val="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i="0"/>
                  <a:t>Extract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16128"/>
        <c:crosses val="max"/>
        <c:crossBetween val="between"/>
        <c:majorUnit val="2"/>
      </c:valAx>
      <c:catAx>
        <c:axId val="113581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581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258359964419"/>
          <c:y val="5.7331863285556797E-2"/>
          <c:w val="0.62804116012694999"/>
          <c:h val="0.6588726354078949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'Summary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Summary!$A$5:$A$9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cat>
          <c:val>
            <c:numRef>
              <c:f>'Summary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EE0-BC72-2AF5E9E10F01}"/>
            </c:ext>
          </c:extLst>
        </c:ser>
        <c:ser>
          <c:idx val="1"/>
          <c:order val="3"/>
          <c:tx>
            <c:strRef>
              <c:f>Summary!$E$3</c:f>
              <c:strCache>
                <c:ptCount val="1"/>
                <c:pt idx="0">
                  <c:v>PC Productivity</c:v>
                </c:pt>
              </c:strCache>
            </c:strRef>
          </c:tx>
          <c:spPr>
            <a:pattFill prst="ltDn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Summary!$I$5:$I$9</c:f>
                <c:numCache>
                  <c:formatCode>General</c:formatCode>
                  <c:ptCount val="5"/>
                  <c:pt idx="0">
                    <c:v>0.56066394640475359</c:v>
                  </c:pt>
                  <c:pt idx="1">
                    <c:v>0.50818341251854504</c:v>
                  </c:pt>
                  <c:pt idx="2">
                    <c:v>1.9620803663645234</c:v>
                  </c:pt>
                  <c:pt idx="3">
                    <c:v>1.4024519804376037</c:v>
                  </c:pt>
                  <c:pt idx="4">
                    <c:v>4.3616322935034679</c:v>
                  </c:pt>
                </c:numCache>
              </c:numRef>
            </c:plus>
            <c:minus>
              <c:numRef>
                <c:f>Summary!$I$5:$I$9</c:f>
                <c:numCache>
                  <c:formatCode>General</c:formatCode>
                  <c:ptCount val="5"/>
                  <c:pt idx="0">
                    <c:v>0.56066394640475359</c:v>
                  </c:pt>
                  <c:pt idx="1">
                    <c:v>0.50818341251854504</c:v>
                  </c:pt>
                  <c:pt idx="2">
                    <c:v>1.9620803663645234</c:v>
                  </c:pt>
                  <c:pt idx="3">
                    <c:v>1.4024519804376037</c:v>
                  </c:pt>
                  <c:pt idx="4">
                    <c:v>4.3616322935034679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Summary!$A$5:$A$9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cat>
          <c:val>
            <c:numRef>
              <c:f>Summary!$E$5:$E$9</c:f>
              <c:numCache>
                <c:formatCode>0.00</c:formatCode>
                <c:ptCount val="5"/>
                <c:pt idx="0">
                  <c:v>7.7563684168148077</c:v>
                </c:pt>
                <c:pt idx="1">
                  <c:v>20.005250272967626</c:v>
                </c:pt>
                <c:pt idx="2">
                  <c:v>34.097377753931461</c:v>
                </c:pt>
                <c:pt idx="3">
                  <c:v>47.871555027507995</c:v>
                </c:pt>
                <c:pt idx="4">
                  <c:v>79.259198466390643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D-4EE0-BC72-2AF5E9E1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74679616"/>
        <c:axId val="1074683008"/>
      </c:barChart>
      <c:barChart>
        <c:barDir val="col"/>
        <c:grouping val="clustered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Extract Purity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Summary!$G$5:$G$9</c:f>
                <c:numCache>
                  <c:formatCode>General</c:formatCode>
                  <c:ptCount val="5"/>
                  <c:pt idx="0">
                    <c:v>0.2057419282311399</c:v>
                  </c:pt>
                  <c:pt idx="1">
                    <c:v>6.1242711185402504E-2</c:v>
                  </c:pt>
                  <c:pt idx="2">
                    <c:v>0.59018325973114916</c:v>
                  </c:pt>
                  <c:pt idx="3">
                    <c:v>0.29651054540569638</c:v>
                  </c:pt>
                  <c:pt idx="4">
                    <c:v>0.26328904091951605</c:v>
                  </c:pt>
                </c:numCache>
              </c:numRef>
            </c:plus>
            <c:minus>
              <c:numRef>
                <c:f>Summary!$G$5:$G$9</c:f>
                <c:numCache>
                  <c:formatCode>General</c:formatCode>
                  <c:ptCount val="5"/>
                  <c:pt idx="0">
                    <c:v>0.2057419282311399</c:v>
                  </c:pt>
                  <c:pt idx="1">
                    <c:v>6.1242711185402504E-2</c:v>
                  </c:pt>
                  <c:pt idx="2">
                    <c:v>0.59018325973114916</c:v>
                  </c:pt>
                  <c:pt idx="3">
                    <c:v>0.29651054540569638</c:v>
                  </c:pt>
                  <c:pt idx="4">
                    <c:v>0.26328904091951605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Summary!$A$5:$A$9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cat>
          <c:val>
            <c:numRef>
              <c:f>Summary!$C$5:$C$9</c:f>
              <c:numCache>
                <c:formatCode>0.00</c:formatCode>
                <c:ptCount val="5"/>
                <c:pt idx="0">
                  <c:v>1.6275162291715526</c:v>
                </c:pt>
                <c:pt idx="1">
                  <c:v>1.9530962449242442</c:v>
                </c:pt>
                <c:pt idx="2">
                  <c:v>3.3672952669282665</c:v>
                </c:pt>
                <c:pt idx="3">
                  <c:v>3.8619292929020155</c:v>
                </c:pt>
                <c:pt idx="4">
                  <c:v>5.1665750140958249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D-4EE0-BC72-2AF5E9E10F01}"/>
            </c:ext>
          </c:extLst>
        </c:ser>
        <c:ser>
          <c:idx val="3"/>
          <c:order val="2"/>
          <c:tx>
            <c:strRef>
              <c:f>'Summary (2)'!#REF!</c:f>
              <c:strCache>
                <c:ptCount val="1"/>
                <c:pt idx="0">
                  <c:v>#REF!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Summary!$A$5:$A$9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cat>
          <c:val>
            <c:numRef>
              <c:f>'Summary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D-4EE0-BC72-2AF5E9E1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81975168"/>
        <c:axId val="1081136016"/>
      </c:barChart>
      <c:catAx>
        <c:axId val="107467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Temperature (˚C)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83008"/>
        <c:crosses val="autoZero"/>
        <c:auto val="1"/>
        <c:lblAlgn val="ctr"/>
        <c:lblOffset val="100"/>
        <c:noMultiLvlLbl val="0"/>
      </c:catAx>
      <c:valAx>
        <c:axId val="10746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baseline="0">
                    <a:effectLst/>
                  </a:rPr>
                  <a:t>Phycocyanin Productivity (𝑃</a:t>
                </a:r>
                <a:r>
                  <a:rPr lang="en-CA" sz="900" b="0" i="1" baseline="-25000">
                    <a:effectLst/>
                  </a:rPr>
                  <a:t>PC</a:t>
                </a:r>
                <a:r>
                  <a:rPr lang="en-CA" sz="900" b="0" i="0" baseline="0">
                    <a:effectLst/>
                  </a:rPr>
                  <a:t>, mg</a:t>
                </a:r>
                <a:r>
                  <a:rPr lang="en-CA" sz="900" b="0" i="0" baseline="-25000">
                    <a:effectLst/>
                  </a:rPr>
                  <a:t>PC</a:t>
                </a:r>
                <a:r>
                  <a:rPr lang="en-CA" sz="900" b="0" i="0" baseline="0">
                    <a:effectLst/>
                  </a:rPr>
                  <a:t>·L</a:t>
                </a:r>
                <a:r>
                  <a:rPr lang="en-CA" sz="900" b="0" i="0" baseline="30000">
                    <a:effectLst/>
                  </a:rPr>
                  <a:t>-1</a:t>
                </a:r>
                <a:r>
                  <a:rPr lang="en-CA" sz="900" b="0" i="0" baseline="0">
                    <a:effectLst/>
                  </a:rPr>
                  <a:t>·d</a:t>
                </a:r>
                <a:r>
                  <a:rPr lang="en-CA" sz="900" b="0" i="0" baseline="30000">
                    <a:effectLst/>
                  </a:rPr>
                  <a:t>-1</a:t>
                </a:r>
                <a:r>
                  <a:rPr lang="en-CA" sz="900" b="0" i="0" baseline="0">
                    <a:effectLst/>
                  </a:rPr>
                  <a:t>)</a:t>
                </a:r>
                <a:endParaRPr lang="en-CA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79616"/>
        <c:crosses val="autoZero"/>
        <c:crossBetween val="between"/>
        <c:majorUnit val="20"/>
      </c:valAx>
      <c:valAx>
        <c:axId val="1081136016"/>
        <c:scaling>
          <c:orientation val="minMax"/>
          <c:max val="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i="0"/>
                  <a:t>Extract 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75168"/>
        <c:crosses val="max"/>
        <c:crossBetween val="between"/>
        <c:majorUnit val="2"/>
      </c:valAx>
      <c:catAx>
        <c:axId val="108197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113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14047478048501"/>
          <c:y val="5.5793991416309002E-2"/>
          <c:w val="0.67145943456232304"/>
          <c:h val="0.658227782166699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Biomass Productivity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Summary!$F$5:$F$9</c:f>
                <c:numCache>
                  <c:formatCode>General</c:formatCode>
                  <c:ptCount val="5"/>
                  <c:pt idx="0">
                    <c:v>1.9471772304202353E-2</c:v>
                  </c:pt>
                  <c:pt idx="1">
                    <c:v>1.4196478436567428E-2</c:v>
                  </c:pt>
                  <c:pt idx="2">
                    <c:v>2.4231825959327317E-2</c:v>
                  </c:pt>
                  <c:pt idx="3">
                    <c:v>1.5698861244538724E-2</c:v>
                  </c:pt>
                  <c:pt idx="4">
                    <c:v>2.8362460243106888E-2</c:v>
                  </c:pt>
                </c:numCache>
              </c:numRef>
            </c:plus>
            <c:minus>
              <c:numRef>
                <c:f>Summary!$F$5:$F$9</c:f>
                <c:numCache>
                  <c:formatCode>General</c:formatCode>
                  <c:ptCount val="5"/>
                  <c:pt idx="0">
                    <c:v>1.9471772304202353E-2</c:v>
                  </c:pt>
                  <c:pt idx="1">
                    <c:v>1.4196478436567428E-2</c:v>
                  </c:pt>
                  <c:pt idx="2">
                    <c:v>2.4231825959327317E-2</c:v>
                  </c:pt>
                  <c:pt idx="3">
                    <c:v>1.5698861244538724E-2</c:v>
                  </c:pt>
                  <c:pt idx="4">
                    <c:v>2.8362460243106888E-2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Summary!$A$5:$A$9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xVal>
          <c:yVal>
            <c:numRef>
              <c:f>Summary!$B$5:$B$9</c:f>
              <c:numCache>
                <c:formatCode>0.00</c:formatCode>
                <c:ptCount val="5"/>
                <c:pt idx="0">
                  <c:v>0.39451666666666485</c:v>
                </c:pt>
                <c:pt idx="1">
                  <c:v>0.80405000000000626</c:v>
                </c:pt>
                <c:pt idx="2">
                  <c:v>0.84694791666666402</c:v>
                </c:pt>
                <c:pt idx="3">
                  <c:v>0.90376374999999809</c:v>
                </c:pt>
                <c:pt idx="4">
                  <c:v>1.1007270833333309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1-3347-BEA8-B70EA36A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310048"/>
        <c:axId val="1074582416"/>
      </c:scatterChart>
      <c:scatterChart>
        <c:scatterStyle val="lineMarker"/>
        <c:varyColors val="0"/>
        <c:ser>
          <c:idx val="1"/>
          <c:order val="1"/>
          <c:tx>
            <c:strRef>
              <c:f>Summary!$D$3</c:f>
              <c:strCache>
                <c:ptCount val="1"/>
                <c:pt idx="0">
                  <c:v>PC Content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Summary!$H$5:$H$9</c:f>
                <c:numCache>
                  <c:formatCode>General</c:formatCode>
                  <c:ptCount val="5"/>
                  <c:pt idx="0">
                    <c:v>1.0382884109239028</c:v>
                  </c:pt>
                  <c:pt idx="1">
                    <c:v>0.45439998292634004</c:v>
                  </c:pt>
                  <c:pt idx="2">
                    <c:v>2.0100034770659989</c:v>
                  </c:pt>
                  <c:pt idx="3">
                    <c:v>1.2495865227139045</c:v>
                  </c:pt>
                  <c:pt idx="4">
                    <c:v>3.5012794700834728</c:v>
                  </c:pt>
                </c:numCache>
              </c:numRef>
            </c:plus>
            <c:minus>
              <c:numRef>
                <c:f>Summary!$H$5:$H$9</c:f>
                <c:numCache>
                  <c:formatCode>General</c:formatCode>
                  <c:ptCount val="5"/>
                  <c:pt idx="0">
                    <c:v>1.0382884109239028</c:v>
                  </c:pt>
                  <c:pt idx="1">
                    <c:v>0.45439998292634004</c:v>
                  </c:pt>
                  <c:pt idx="2">
                    <c:v>2.0100034770659989</c:v>
                  </c:pt>
                  <c:pt idx="3">
                    <c:v>1.2495865227139045</c:v>
                  </c:pt>
                  <c:pt idx="4">
                    <c:v>3.5012794700834728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Summary!$A$5:$A$9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</c:numCache>
            </c:numRef>
          </c:xVal>
          <c:yVal>
            <c:numRef>
              <c:f>Summary!$D$5:$D$9</c:f>
              <c:numCache>
                <c:formatCode>0.00</c:formatCode>
                <c:ptCount val="5"/>
                <c:pt idx="0">
                  <c:v>19.660432808452985</c:v>
                </c:pt>
                <c:pt idx="1">
                  <c:v>24.880604779513053</c:v>
                </c:pt>
                <c:pt idx="2">
                  <c:v>40.259119932815508</c:v>
                </c:pt>
                <c:pt idx="3">
                  <c:v>52.969102851832787</c:v>
                </c:pt>
                <c:pt idx="4">
                  <c:v>72.006221766044021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1-3347-BEA8-B70EA36AF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90240"/>
        <c:axId val="1074585808"/>
      </c:scatterChart>
      <c:valAx>
        <c:axId val="108131004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Temperature (</a:t>
                </a:r>
                <a:r>
                  <a:rPr lang="en-GB" sz="900" b="0" i="0" u="none" strike="noStrike" baseline="0">
                    <a:effectLst/>
                  </a:rPr>
                  <a:t>˚</a:t>
                </a:r>
                <a:r>
                  <a:rPr lang="en-US" sz="900"/>
                  <a:t>C)</a:t>
                </a:r>
              </a:p>
            </c:rich>
          </c:tx>
          <c:layout>
            <c:manualLayout>
              <c:xMode val="edge"/>
              <c:yMode val="edge"/>
              <c:x val="0.354076911225567"/>
              <c:y val="0.78852669899313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82416"/>
        <c:crosses val="autoZero"/>
        <c:crossBetween val="midCat"/>
      </c:valAx>
      <c:valAx>
        <c:axId val="10745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baseline="0">
                    <a:effectLst/>
                  </a:rPr>
                  <a:t>Biomass Productivity (𝑃</a:t>
                </a:r>
                <a:r>
                  <a:rPr lang="en-CA" sz="900" b="0" i="0" baseline="-25000">
                    <a:effectLst/>
                  </a:rPr>
                  <a:t>𝑋</a:t>
                </a:r>
                <a:r>
                  <a:rPr lang="en-CA" sz="900" b="0" i="0" baseline="0">
                    <a:effectLst/>
                  </a:rPr>
                  <a:t>, g</a:t>
                </a:r>
                <a:r>
                  <a:rPr lang="en-CA" sz="900" b="0" i="0" baseline="-25000">
                    <a:effectLst/>
                  </a:rPr>
                  <a:t>X</a:t>
                </a:r>
                <a:r>
                  <a:rPr lang="en-CA" sz="900" b="0" i="0" baseline="0">
                    <a:effectLst/>
                  </a:rPr>
                  <a:t>·L</a:t>
                </a:r>
                <a:r>
                  <a:rPr lang="en-CA" sz="900" b="0" i="0" baseline="30000">
                    <a:effectLst/>
                  </a:rPr>
                  <a:t>-1</a:t>
                </a:r>
                <a:r>
                  <a:rPr lang="en-CA" sz="900" b="0" i="0" baseline="0">
                    <a:effectLst/>
                  </a:rPr>
                  <a:t>·d</a:t>
                </a:r>
                <a:r>
                  <a:rPr lang="en-CA" sz="900" b="0" i="0" baseline="30000">
                    <a:effectLst/>
                  </a:rPr>
                  <a:t>-1</a:t>
                </a:r>
                <a:r>
                  <a:rPr lang="en-CA" sz="900" b="0" i="0" baseline="0">
                    <a:effectLst/>
                  </a:rPr>
                  <a:t>)</a:t>
                </a:r>
                <a:endParaRPr lang="en-CA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4195329932075E-2"/>
              <c:y val="7.9564092661747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10048"/>
        <c:crosses val="autoZero"/>
        <c:crossBetween val="midCat"/>
      </c:valAx>
      <c:valAx>
        <c:axId val="107458580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0" i="0" baseline="0">
                    <a:effectLst/>
                  </a:rPr>
                  <a:t>Phycocyanin Content (𝑋</a:t>
                </a:r>
                <a:r>
                  <a:rPr lang="en-CA" sz="900" b="0" i="0" baseline="-25000">
                    <a:effectLst/>
                  </a:rPr>
                  <a:t>𝑃𝐶</a:t>
                </a:r>
                <a:r>
                  <a:rPr lang="en-CA" sz="900" b="0" i="0" baseline="0">
                    <a:effectLst/>
                  </a:rPr>
                  <a:t>, mg</a:t>
                </a:r>
                <a:r>
                  <a:rPr lang="en-CA" sz="900" b="0" i="0" baseline="-25000">
                    <a:effectLst/>
                  </a:rPr>
                  <a:t>PC</a:t>
                </a:r>
                <a:r>
                  <a:rPr lang="en-CA" sz="900" b="0" i="0" baseline="0">
                    <a:effectLst/>
                  </a:rPr>
                  <a:t>·g</a:t>
                </a:r>
                <a:r>
                  <a:rPr lang="en-CA" sz="900" b="0" i="0" baseline="-25000">
                    <a:effectLst/>
                  </a:rPr>
                  <a:t>X</a:t>
                </a:r>
                <a:r>
                  <a:rPr lang="en-CA" sz="900" b="0" i="0" baseline="30000">
                    <a:effectLst/>
                  </a:rPr>
                  <a:t>−1</a:t>
                </a:r>
                <a:r>
                  <a:rPr lang="en-CA" sz="900" b="0" i="0" baseline="0">
                    <a:effectLst/>
                  </a:rPr>
                  <a:t>)</a:t>
                </a:r>
                <a:endParaRPr lang="en-CA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507411562283704"/>
              <c:y val="8.625725092144799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90240"/>
        <c:crosses val="max"/>
        <c:crossBetween val="midCat"/>
        <c:majorUnit val="20"/>
      </c:valAx>
      <c:valAx>
        <c:axId val="107459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458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42525533890401E-2"/>
          <c:y val="0.87357299742162897"/>
          <c:w val="0.9"/>
          <c:h val="7.791542595213080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114156</xdr:colOff>
      <xdr:row>0</xdr:row>
      <xdr:rowOff>0</xdr:rowOff>
    </xdr:from>
    <xdr:to>
      <xdr:col>16</xdr:col>
      <xdr:colOff>483503</xdr:colOff>
      <xdr:row>25</xdr:row>
      <xdr:rowOff>85717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8725898" y="0"/>
          <a:ext cx="5656257" cy="5750773"/>
          <a:chOff x="18443719" y="6508782"/>
          <a:chExt cx="5717386" cy="5761098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18443719" y="6611658"/>
          <a:ext cx="2839145" cy="27991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aphicFramePr>
            <a:graphicFrameLocks/>
          </xdr:cNvGraphicFramePr>
        </xdr:nvGraphicFramePr>
        <xdr:xfrm>
          <a:off x="18443719" y="9470754"/>
          <a:ext cx="2839145" cy="27991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aphicFramePr>
            <a:graphicFrameLocks/>
          </xdr:cNvGraphicFramePr>
        </xdr:nvGraphicFramePr>
        <xdr:xfrm>
          <a:off x="21321960" y="9470754"/>
          <a:ext cx="2839144" cy="27991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aphicFramePr>
            <a:graphicFrameLocks/>
          </xdr:cNvGraphicFramePr>
        </xdr:nvGraphicFramePr>
        <xdr:xfrm>
          <a:off x="21321960" y="6611658"/>
          <a:ext cx="2839145" cy="27991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4" name="Text Box 19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18450100" y="6528693"/>
            <a:ext cx="228600" cy="340360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lnSpc>
                <a:spcPct val="150000"/>
              </a:lnSpc>
              <a:spcAft>
                <a:spcPts val="1200"/>
              </a:spcAft>
            </a:pPr>
            <a:r>
              <a:rPr lang="en-US" sz="1000" b="1">
                <a:effectLst/>
                <a:ea typeface="Calibri" charset="0"/>
                <a:cs typeface="Arial" charset="0"/>
              </a:rPr>
              <a:t>A</a:t>
            </a:r>
            <a:endParaRPr lang="en-US" sz="1000">
              <a:effectLst/>
              <a:ea typeface="Calibri" charset="0"/>
              <a:cs typeface="Arial" charset="0"/>
            </a:endParaRPr>
          </a:p>
        </xdr:txBody>
      </xdr:sp>
      <xdr:sp macro="" textlink="">
        <xdr:nvSpPr>
          <xdr:cNvPr id="15" name="Text Box 19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/>
        </xdr:nvSpPr>
        <xdr:spPr>
          <a:xfrm>
            <a:off x="21327576" y="6508782"/>
            <a:ext cx="228600" cy="340360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lnSpc>
                <a:spcPct val="150000"/>
              </a:lnSpc>
              <a:spcAft>
                <a:spcPts val="1200"/>
              </a:spcAft>
            </a:pPr>
            <a:r>
              <a:rPr lang="en-US" sz="1000" b="1">
                <a:effectLst/>
                <a:ea typeface="Calibri" charset="0"/>
                <a:cs typeface="Arial" charset="0"/>
              </a:rPr>
              <a:t>B</a:t>
            </a:r>
            <a:endParaRPr lang="en-US" sz="1000">
              <a:effectLst/>
              <a:ea typeface="Calibri" charset="0"/>
              <a:cs typeface="Arial" charset="0"/>
            </a:endParaRPr>
          </a:p>
        </xdr:txBody>
      </xdr:sp>
      <xdr:sp macro="" textlink="">
        <xdr:nvSpPr>
          <xdr:cNvPr id="16" name="Text Box 19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49334" y="9348732"/>
            <a:ext cx="228600" cy="340360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lnSpc>
                <a:spcPct val="150000"/>
              </a:lnSpc>
              <a:spcAft>
                <a:spcPts val="1200"/>
              </a:spcAft>
            </a:pPr>
            <a:r>
              <a:rPr lang="en-US" sz="1000" b="1">
                <a:effectLst/>
                <a:ea typeface="Calibri" charset="0"/>
                <a:cs typeface="Arial" charset="0"/>
              </a:rPr>
              <a:t>C</a:t>
            </a:r>
            <a:endParaRPr lang="en-US" sz="1000">
              <a:effectLst/>
              <a:ea typeface="Calibri" charset="0"/>
              <a:cs typeface="Arial" charset="0"/>
            </a:endParaRPr>
          </a:p>
        </xdr:txBody>
      </xdr:sp>
      <xdr:sp macro="" textlink="">
        <xdr:nvSpPr>
          <xdr:cNvPr id="17" name="Text Box 19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21326810" y="9328821"/>
            <a:ext cx="228600" cy="340360"/>
          </a:xfrm>
          <a:prstGeom prst="rect">
            <a:avLst/>
          </a:prstGeom>
          <a:noFill/>
          <a:ln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lnSpc>
                <a:spcPct val="150000"/>
              </a:lnSpc>
              <a:spcAft>
                <a:spcPts val="1200"/>
              </a:spcAft>
            </a:pPr>
            <a:r>
              <a:rPr lang="en-US" sz="1000" b="1">
                <a:effectLst/>
                <a:ea typeface="Calibri" charset="0"/>
                <a:cs typeface="Arial" charset="0"/>
              </a:rPr>
              <a:t>D</a:t>
            </a:r>
            <a:endParaRPr lang="en-US" sz="1000">
              <a:effectLst/>
              <a:ea typeface="Calibri" charset="0"/>
              <a:cs typeface="Arial" charset="0"/>
            </a:endParaRPr>
          </a:p>
        </xdr:txBody>
      </xdr:sp>
    </xdr:grpSp>
    <xdr:clientData/>
  </xdr:twoCellAnchor>
  <xdr:oneCellAnchor>
    <xdr:from>
      <xdr:col>14</xdr:col>
      <xdr:colOff>28539</xdr:colOff>
      <xdr:row>48</xdr:row>
      <xdr:rowOff>128427</xdr:rowOff>
    </xdr:from>
    <xdr:ext cx="3237364" cy="546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3082247" y="7848315"/>
              <a:ext cx="3237364" cy="546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charset="0"/>
                      </a:rPr>
                      <m:t>𝑐</m:t>
                    </m:r>
                    <m:r>
                      <a:rPr lang="en-US" sz="1400" b="0" i="1">
                        <a:latin typeface="Cambria Math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charset="0"/>
                          </a:rPr>
                          <m:t>𝐴</m:t>
                        </m:r>
                      </m:num>
                      <m:den>
                        <m:r>
                          <a:rPr lang="en-US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𝜀</m:t>
                        </m:r>
                        <m:r>
                          <a:rPr lang="en-US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𝑑</m:t>
                        </m:r>
                      </m:den>
                    </m:f>
                    <m:r>
                      <a:rPr lang="en-US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×</m:t>
                    </m:r>
                    <m:r>
                      <a:rPr lang="en-US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𝑀𝑊</m:t>
                    </m:r>
                    <m:r>
                      <a:rPr lang="en-US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×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charset="0"/>
                            <a:cs typeface="Cambria Math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𝐵𝑢𝑓𝑓𝑒𝑟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𝑆𝑎𝑚𝑝𝑙𝑒</m:t>
                            </m:r>
                          </m:sub>
                        </m:sSub>
                      </m:den>
                    </m:f>
                    <m:r>
                      <a:rPr lang="en-US" sz="14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×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charset="0"/>
                            <a:cs typeface="Cambria Math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10</m:t>
                        </m:r>
                      </m:e>
                      <m:sup>
                        <m:r>
                          <a:rPr lang="en-US" sz="14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6</m:t>
                        </m:r>
                      </m:sup>
                    </m:sSup>
                  </m:oMath>
                </m:oMathPara>
              </a14:m>
              <a:endParaRPr lang="en-US" sz="1400"/>
            </a:p>
            <a:p>
              <a:endParaRPr lang="en-US" sz="14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3082247" y="7848315"/>
              <a:ext cx="3237364" cy="546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charset="0"/>
                </a:rPr>
                <a:t>𝑐=𝐴/</a:t>
              </a:r>
              <a:r>
                <a:rPr lang="en-US" sz="1400" b="0" i="0">
                  <a:latin typeface="Cambria Math" charset="0"/>
                  <a:ea typeface="Cambria Math" charset="0"/>
                  <a:cs typeface="Cambria Math" charset="0"/>
                </a:rPr>
                <a:t>𝜀𝑑×𝑀𝑊×𝑉_𝐵𝑢𝑓𝑓𝑒𝑟/𝑉_𝑆𝑎𝑚𝑝𝑙𝑒 ×〖10〗^6</a:t>
              </a:r>
              <a:endParaRPr lang="en-US" sz="1400"/>
            </a:p>
            <a:p>
              <a:endParaRPr lang="en-US" sz="14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ostl003/AppData/Roaming/eLabWebEdit/.fileEdits/1AE9C80CAD908E9E3F1E0F4F4931AFBFF3131E319468E7C0CD5D070B5EFBF1F9_DOE-reactor%20monitoring%20V2.0%2026-10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ning"/>
      <sheetName val="DOE #1"/>
      <sheetName val="DOE #2"/>
      <sheetName val="DOE #3"/>
      <sheetName val="DOE #4"/>
      <sheetName val="Graphs #1-4"/>
      <sheetName val="DOE #5"/>
      <sheetName val="DOE #6"/>
      <sheetName val="DOE #7"/>
      <sheetName val="DOE #8"/>
      <sheetName val="Graphs #5-8"/>
      <sheetName val="DOE #9"/>
      <sheetName val="DOE #10"/>
      <sheetName val="DOE #11"/>
      <sheetName val="DOE #12"/>
      <sheetName val="Graphs #9-12"/>
      <sheetName val="DOE #13"/>
      <sheetName val="DOE #14"/>
      <sheetName val="DOE #15"/>
      <sheetName val="Luminostat-test"/>
      <sheetName val="Graphs #13-15"/>
      <sheetName val="Notes"/>
      <sheetName val="Summary of results"/>
      <sheetName val="Results (to mess with)"/>
      <sheetName val="Notes et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A2" t="str">
            <v xml:space="preserve">Batch </v>
          </cell>
        </row>
        <row r="3">
          <cell r="A3" t="str">
            <v>Turbidostat</v>
          </cell>
        </row>
      </sheetData>
      <sheetData sheetId="22" refreshError="1"/>
      <sheetData sheetId="23" refreshError="1"/>
      <sheetData sheetId="24" refreshError="1">
        <row r="2">
          <cell r="A2" t="str">
            <v>Chemostat</v>
          </cell>
        </row>
        <row r="3">
          <cell r="A3" t="str">
            <v>Timed Chemostat</v>
          </cell>
        </row>
        <row r="4">
          <cell r="A4" t="str">
            <v xml:space="preserve">Turbidostat </v>
          </cell>
        </row>
        <row r="5">
          <cell r="A5" t="str">
            <v>Timed Turbidostat</v>
          </cell>
        </row>
        <row r="6">
          <cell r="A6" t="str">
            <v>Luminostat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89" zoomScaleNormal="89" zoomScalePageLayoutView="89" workbookViewId="0">
      <selection activeCell="G34" sqref="G34"/>
    </sheetView>
  </sheetViews>
  <sheetFormatPr defaultColWidth="10.6640625" defaultRowHeight="15.5" x14ac:dyDescent="0.35"/>
  <cols>
    <col min="1" max="1" width="13.1640625" bestFit="1" customWidth="1"/>
    <col min="2" max="2" width="11.1640625" bestFit="1" customWidth="1"/>
    <col min="3" max="3" width="12.5" customWidth="1"/>
    <col min="4" max="4" width="12.33203125" bestFit="1" customWidth="1"/>
    <col min="5" max="5" width="13.83203125" bestFit="1" customWidth="1"/>
    <col min="6" max="6" width="11.1640625" bestFit="1" customWidth="1"/>
    <col min="7" max="7" width="12.5" customWidth="1"/>
    <col min="8" max="8" width="12.33203125" bestFit="1" customWidth="1"/>
    <col min="9" max="9" width="13.83203125" bestFit="1" customWidth="1"/>
    <col min="15" max="15" width="5.33203125" customWidth="1"/>
  </cols>
  <sheetData>
    <row r="1" spans="1:9" ht="16" thickBot="1" x14ac:dyDescent="0.4">
      <c r="A1" s="86" t="s">
        <v>4</v>
      </c>
      <c r="B1" s="86"/>
      <c r="C1" s="86"/>
      <c r="D1" s="86"/>
      <c r="E1" s="86"/>
      <c r="F1" s="86"/>
      <c r="G1" s="86"/>
      <c r="H1" s="86"/>
      <c r="I1" s="86"/>
    </row>
    <row r="2" spans="1:9" x14ac:dyDescent="0.35">
      <c r="A2" s="72"/>
      <c r="B2" s="84" t="s">
        <v>5</v>
      </c>
      <c r="C2" s="84"/>
      <c r="D2" s="84"/>
      <c r="E2" s="85"/>
      <c r="F2" s="84" t="s">
        <v>106</v>
      </c>
      <c r="G2" s="84"/>
      <c r="H2" s="84"/>
      <c r="I2" s="85"/>
    </row>
    <row r="3" spans="1:9" s="4" customFormat="1" ht="31" x14ac:dyDescent="0.35">
      <c r="A3" s="73" t="s">
        <v>4</v>
      </c>
      <c r="B3" s="66" t="s">
        <v>12</v>
      </c>
      <c r="C3" s="66" t="s">
        <v>75</v>
      </c>
      <c r="D3" s="66" t="s">
        <v>76</v>
      </c>
      <c r="E3" s="67" t="s">
        <v>77</v>
      </c>
      <c r="F3" s="66" t="s">
        <v>12</v>
      </c>
      <c r="G3" s="66" t="s">
        <v>75</v>
      </c>
      <c r="H3" s="66" t="s">
        <v>76</v>
      </c>
      <c r="I3" s="67" t="s">
        <v>77</v>
      </c>
    </row>
    <row r="4" spans="1:9" s="4" customFormat="1" ht="19" thickBot="1" x14ac:dyDescent="0.5">
      <c r="A4" s="76" t="s">
        <v>101</v>
      </c>
      <c r="B4" s="77" t="s">
        <v>102</v>
      </c>
      <c r="C4" s="78" t="s">
        <v>71</v>
      </c>
      <c r="D4" s="79" t="s">
        <v>103</v>
      </c>
      <c r="E4" s="80" t="s">
        <v>104</v>
      </c>
      <c r="F4" s="77" t="s">
        <v>102</v>
      </c>
      <c r="G4" s="78" t="s">
        <v>71</v>
      </c>
      <c r="H4" s="79" t="s">
        <v>103</v>
      </c>
      <c r="I4" s="80" t="s">
        <v>104</v>
      </c>
    </row>
    <row r="5" spans="1:9" x14ac:dyDescent="0.35">
      <c r="A5" s="74">
        <v>20</v>
      </c>
      <c r="B5" s="43">
        <f>AVERAGE(Temp_all_data!N3:N5,Temp_all_data!N6:N8)</f>
        <v>0.39451666666666485</v>
      </c>
      <c r="C5" s="43">
        <f>AVERAGE(Temp_all_data!AH3:AH5,Temp_all_data!AH6:AH8)</f>
        <v>1.6275162291715526</v>
      </c>
      <c r="D5" s="43">
        <f>AVERAGE(Temp_all_data!AJ3:AJ5,Temp_all_data!AJ6:AJ8)</f>
        <v>19.660432808452985</v>
      </c>
      <c r="E5" s="69">
        <f>B5*D5</f>
        <v>7.7563684168148077</v>
      </c>
      <c r="F5" s="43">
        <f>STDEV(Temp_all_data!N3:N5,Temp_all_data!N6:N8)</f>
        <v>1.9471772304202353E-2</v>
      </c>
      <c r="G5" s="43">
        <f>STDEV(Temp_all_data!AH3:AH5,Temp_all_data!AH6:AH8)</f>
        <v>0.2057419282311399</v>
      </c>
      <c r="H5" s="43">
        <f>STDEV(Temp_all_data!AJ3:AJ5,Temp_all_data!AJ6:AJ8)</f>
        <v>1.0382884109239028</v>
      </c>
      <c r="I5" s="69">
        <f>(SQRT(((F5/B5)^2)+((H5/D5)^2)))*E5</f>
        <v>0.56066394640475359</v>
      </c>
    </row>
    <row r="6" spans="1:9" x14ac:dyDescent="0.35">
      <c r="A6" s="74">
        <v>25</v>
      </c>
      <c r="B6" s="43">
        <f>AVERAGE(Temp_all_data!N10:N12,Temp_all_data!N13:N15)</f>
        <v>0.80405000000000626</v>
      </c>
      <c r="C6" s="43">
        <f>AVERAGE(Temp_all_data!AH10:AH12,Temp_all_data!AH13:AH15)</f>
        <v>1.9530962449242442</v>
      </c>
      <c r="D6" s="43">
        <f>AVERAGE(Temp_all_data!AJ10:AJ12,Temp_all_data!AJ13:AJ15)</f>
        <v>24.880604779513053</v>
      </c>
      <c r="E6" s="69">
        <f>B6*D6</f>
        <v>20.005250272967626</v>
      </c>
      <c r="F6" s="43">
        <f>STDEV(Temp_all_data!N10:N12,Temp_all_data!N13:N15)</f>
        <v>1.4196478436567428E-2</v>
      </c>
      <c r="G6" s="43">
        <f>STDEV(Temp_all_data!AH10:AH12,Temp_all_data!AH13:AH15)</f>
        <v>6.1242711185402504E-2</v>
      </c>
      <c r="H6" s="43">
        <f>STDEV(Temp_all_data!AJ10:AJ12,Temp_all_data!AJ13:AJ15)</f>
        <v>0.45439998292634004</v>
      </c>
      <c r="I6" s="69">
        <f>(SQRT(((F6/B6)^2)+((H6/D6)^2)))*E6</f>
        <v>0.50818341251854504</v>
      </c>
    </row>
    <row r="7" spans="1:9" x14ac:dyDescent="0.35">
      <c r="A7" s="74">
        <v>30</v>
      </c>
      <c r="B7" s="43">
        <f>AVERAGE(Temp_all_data!N17:N22)</f>
        <v>0.84694791666666402</v>
      </c>
      <c r="C7" s="43">
        <f>AVERAGE(Temp_all_data!AH17:AH22)</f>
        <v>3.3672952669282665</v>
      </c>
      <c r="D7" s="43">
        <f>AVERAGE(Temp_all_data!AJ17:AJ22)</f>
        <v>40.259119932815508</v>
      </c>
      <c r="E7" s="69">
        <f>B7*D7</f>
        <v>34.097377753931461</v>
      </c>
      <c r="F7" s="43">
        <f>STDEV(Temp_all_data!N17:N22)</f>
        <v>2.4231825959327317E-2</v>
      </c>
      <c r="G7" s="43">
        <f>STDEV(Temp_all_data!AH17:AH22)</f>
        <v>0.59018325973114916</v>
      </c>
      <c r="H7" s="43">
        <f>STDEV(Temp_all_data!AJ17:AJ22)</f>
        <v>2.0100034770659989</v>
      </c>
      <c r="I7" s="69">
        <f>(SQRT(((F7/B7)^2)+((H7/D7)^2)))*E7</f>
        <v>1.9620803663645234</v>
      </c>
    </row>
    <row r="8" spans="1:9" x14ac:dyDescent="0.35">
      <c r="A8" s="74">
        <v>35</v>
      </c>
      <c r="B8" s="43">
        <f>AVERAGE(Temp_all_data!N24:N26,Temp_all_data!N27:N29)</f>
        <v>0.90376374999999809</v>
      </c>
      <c r="C8" s="43">
        <f>AVERAGE(Temp_all_data!AH24:AH26,Temp_all_data!AH27:AH29)</f>
        <v>3.8619292929020155</v>
      </c>
      <c r="D8" s="43">
        <f>AVERAGE(Temp_all_data!AJ24:AJ26,Temp_all_data!AJ27:AJ29)</f>
        <v>52.969102851832787</v>
      </c>
      <c r="E8" s="69">
        <f>B8*D8</f>
        <v>47.871555027507995</v>
      </c>
      <c r="F8" s="43">
        <f>STDEV((Temp_all_data!N24:N26,Temp_all_data!N27:N29))</f>
        <v>1.5698861244538724E-2</v>
      </c>
      <c r="G8" s="43">
        <f>STDEV(Temp_all_data!AH24:AH26,Temp_all_data!AH27:AH29)</f>
        <v>0.29651054540569638</v>
      </c>
      <c r="H8" s="43">
        <f>STDEV(Temp_all_data!AJ24:AJ26,Temp_all_data!AJ27:AJ29)</f>
        <v>1.2495865227139045</v>
      </c>
      <c r="I8" s="69">
        <f>(SQRT(((F8/B8)^2)+((H8/D8)^2)))*E8</f>
        <v>1.4024519804376037</v>
      </c>
    </row>
    <row r="9" spans="1:9" ht="16" thickBot="1" x14ac:dyDescent="0.4">
      <c r="A9" s="75">
        <v>40</v>
      </c>
      <c r="B9" s="70">
        <f>AVERAGE(Temp_all_data!N31:N33,Temp_all_data!N34:N36)</f>
        <v>1.1007270833333309</v>
      </c>
      <c r="C9" s="70">
        <f>AVERAGE(Temp_all_data!AH31:AH33,Temp_all_data!AH34:AH36)</f>
        <v>5.1665750140958249</v>
      </c>
      <c r="D9" s="70">
        <f>AVERAGE(Temp_all_data!AJ31:AJ33,Temp_all_data!AJ34:AJ36)</f>
        <v>72.006221766044021</v>
      </c>
      <c r="E9" s="71">
        <f>B9*D9</f>
        <v>79.259198466390643</v>
      </c>
      <c r="F9" s="70">
        <f>STDEV(Temp_all_data!N31:N33,Temp_all_data!N34:N36)</f>
        <v>2.8362460243106888E-2</v>
      </c>
      <c r="G9" s="70">
        <f>STDEV(Temp_all_data!AH31:AH33,Temp_all_data!AH34:AH36)</f>
        <v>0.26328904091951605</v>
      </c>
      <c r="H9" s="70">
        <f>STDEV(Temp_all_data!AJ31:AJ33,Temp_all_data!AJ34:AJ36)</f>
        <v>3.5012794700834728</v>
      </c>
      <c r="I9" s="71">
        <f>(SQRT(((F9/B9)^2)+((H9/D9)^2)))*E9</f>
        <v>4.3616322935034679</v>
      </c>
    </row>
    <row r="12" spans="1:9" ht="16" thickBot="1" x14ac:dyDescent="0.4">
      <c r="A12" s="86" t="s">
        <v>2</v>
      </c>
      <c r="B12" s="86"/>
      <c r="C12" s="86"/>
      <c r="D12" s="86"/>
      <c r="E12" s="86"/>
      <c r="F12" s="86"/>
      <c r="G12" s="86"/>
      <c r="H12" s="86"/>
      <c r="I12" s="86"/>
    </row>
    <row r="13" spans="1:9" x14ac:dyDescent="0.35">
      <c r="A13" s="72"/>
      <c r="B13" s="84" t="s">
        <v>5</v>
      </c>
      <c r="C13" s="84"/>
      <c r="D13" s="84"/>
      <c r="E13" s="85"/>
      <c r="F13" s="84" t="s">
        <v>106</v>
      </c>
      <c r="G13" s="84"/>
      <c r="H13" s="84"/>
      <c r="I13" s="85"/>
    </row>
    <row r="14" spans="1:9" ht="46.5" x14ac:dyDescent="0.35">
      <c r="A14" s="73" t="s">
        <v>2</v>
      </c>
      <c r="B14" s="66" t="s">
        <v>12</v>
      </c>
      <c r="C14" s="66" t="s">
        <v>75</v>
      </c>
      <c r="D14" s="66" t="s">
        <v>76</v>
      </c>
      <c r="E14" s="67" t="s">
        <v>77</v>
      </c>
      <c r="F14" s="66" t="s">
        <v>0</v>
      </c>
      <c r="G14" s="66" t="s">
        <v>70</v>
      </c>
      <c r="H14" s="66" t="s">
        <v>1</v>
      </c>
      <c r="I14" s="67" t="s">
        <v>3</v>
      </c>
    </row>
    <row r="15" spans="1:9" s="68" customFormat="1" ht="19" thickBot="1" x14ac:dyDescent="0.5">
      <c r="A15" s="76" t="s">
        <v>105</v>
      </c>
      <c r="B15" s="77" t="s">
        <v>102</v>
      </c>
      <c r="C15" s="78" t="s">
        <v>71</v>
      </c>
      <c r="D15" s="79" t="s">
        <v>103</v>
      </c>
      <c r="E15" s="80" t="s">
        <v>104</v>
      </c>
      <c r="F15" s="77" t="s">
        <v>102</v>
      </c>
      <c r="G15" s="78" t="s">
        <v>71</v>
      </c>
      <c r="H15" s="79" t="s">
        <v>103</v>
      </c>
      <c r="I15" s="80" t="s">
        <v>104</v>
      </c>
    </row>
    <row r="16" spans="1:9" x14ac:dyDescent="0.35">
      <c r="A16" s="74">
        <v>80</v>
      </c>
      <c r="B16" s="43">
        <f>AVERAGE('Light all data'!$N$3:$N$5,'Light all data'!$N$6:$N$8)</f>
        <v>0.42628979166667108</v>
      </c>
      <c r="C16" s="43">
        <f>AVERAGE('Light all data'!$AH$3:$AH$5,'Light all data'!$AH$6:$AH$8)</f>
        <v>7.5140011692714985</v>
      </c>
      <c r="D16" s="43">
        <f>AVERAGE('Light all data'!$AJ$3:$AJ$5,'Light all data'!$AJ$6:$AJ$8)</f>
        <v>86.127131952638464</v>
      </c>
      <c r="E16" s="69">
        <f>B16*D16</f>
        <v>36.71511713693814</v>
      </c>
      <c r="F16" s="43">
        <f>STDEV('Light all data'!$N$3:$N$5,'Light all data'!$N$6:$N$8)</f>
        <v>2.6509665223467292E-2</v>
      </c>
      <c r="G16" s="43">
        <f>STDEV('Light all data'!$AH$3:$AH$5,'Light all data'!$AH$6:$AH$8)</f>
        <v>0.39105798173958356</v>
      </c>
      <c r="H16" s="43">
        <f>STDEV('Light all data'!$AJ$3:$AJ$5,'Light all data'!$AJ$6:$AJ$8)</f>
        <v>3.2577516331620826</v>
      </c>
      <c r="I16" s="69">
        <f>(SQRT(((F16/Summary!B16)^2)+((H16/Summary!D16)^2)))*Summary!E16</f>
        <v>2.6723818926332439</v>
      </c>
    </row>
    <row r="17" spans="1:9" x14ac:dyDescent="0.35">
      <c r="A17" s="74">
        <v>160</v>
      </c>
      <c r="B17" s="43">
        <f>AVERAGE('Light all data'!$N$10:$N$12,'Light all data'!$N$13:$N$15)</f>
        <v>0.81154166666666283</v>
      </c>
      <c r="C17" s="43">
        <f>AVERAGE('Light all data'!$AH$10:$AH$12,'Light all data'!$AH$13:$AH$15)</f>
        <v>4.2752891163830382</v>
      </c>
      <c r="D17" s="43">
        <f>AVERAGE('Light all data'!$AJ$10:$AJ$12,'Light all data'!$AJ$13:$AJ$15)</f>
        <v>47.570412979226695</v>
      </c>
      <c r="E17" s="69">
        <f t="shared" ref="E17:E21" si="0">B17*D17</f>
        <v>38.605372233183083</v>
      </c>
      <c r="F17" s="43">
        <f>STDEV('Light all data'!$N$10:$N$12,'Light all data'!$N$13:$N$15)</f>
        <v>3.2674266122849786E-2</v>
      </c>
      <c r="G17" s="43">
        <f>STDEV('Light all data'!$AH$10:$AH$12,'Light all data'!$AH$13:$AH$15)</f>
        <v>0.28940175979487159</v>
      </c>
      <c r="H17" s="43">
        <f>STDEV('Light all data'!$AJ$10:$AJ$12,'Light all data'!$AJ$13:$AJ$15)</f>
        <v>2.2598570655972483</v>
      </c>
      <c r="I17" s="69">
        <f>(SQRT(((F17/Summary!B17)^2)+((H17/Summary!D17)^2)))*Summary!E17</f>
        <v>2.4040332389750336</v>
      </c>
    </row>
    <row r="18" spans="1:9" x14ac:dyDescent="0.35">
      <c r="A18" s="74">
        <v>300</v>
      </c>
      <c r="B18" s="43">
        <f>AVERAGE('Light all data'!$N$17:$N$22)</f>
        <v>0.84694791666666402</v>
      </c>
      <c r="C18" s="43">
        <f>AVERAGE('Light all data'!$AH$17:$AH$22)</f>
        <v>3.3672952669282665</v>
      </c>
      <c r="D18" s="43">
        <f>AVERAGE('Light all data'!$AJ$17:$AJ$22)</f>
        <v>40.493563359313484</v>
      </c>
      <c r="E18" s="69">
        <f t="shared" si="0"/>
        <v>34.295939125580119</v>
      </c>
      <c r="F18" s="43">
        <f>STDEV('Light all data'!$N$17:$N$22)</f>
        <v>2.4231825959327317E-2</v>
      </c>
      <c r="G18" s="43">
        <f>STDEV('Light all data'!$AH$17:$AH$22)</f>
        <v>0.59018325973114916</v>
      </c>
      <c r="H18" s="43">
        <f>STDEV('Light all data'!$AJ$17:$AJ$22)</f>
        <v>2.1075933417351633</v>
      </c>
      <c r="I18" s="69">
        <f>(SQRT(((F18/Summary!B18)^2)+((H18/Summary!D18)^2)))*Summary!E18</f>
        <v>2.0369391132977621</v>
      </c>
    </row>
    <row r="19" spans="1:9" x14ac:dyDescent="0.35">
      <c r="A19" s="74">
        <v>700</v>
      </c>
      <c r="B19" s="43">
        <f>AVERAGE('Light all data'!$N$24:$N$26,'Light all data'!$N$27:$N$29)</f>
        <v>0.80321041666666027</v>
      </c>
      <c r="C19" s="43">
        <f>AVERAGE('Light all data'!$AH$24:$AH$26,'Light all data'!$AH$27:$AH$29)</f>
        <v>2.2563735178376145</v>
      </c>
      <c r="D19" s="43">
        <f>AVERAGE('Light all data'!$AJ$24:$AJ$26,'Light all data'!$AJ$27:$AJ$29)</f>
        <v>27.077439065019551</v>
      </c>
      <c r="E19" s="69">
        <f t="shared" si="0"/>
        <v>21.748881113680458</v>
      </c>
      <c r="F19" s="43">
        <f>STDEV('Light all data'!$N$24:$N$26,'Light all data'!$N$27:$N$29)</f>
        <v>1.8791865621635748E-2</v>
      </c>
      <c r="G19" s="43">
        <f>STDEV('Light all data'!$AH$24:$AH$26,'Light all data'!$AH$27:$AH$29)</f>
        <v>8.4626877530795036E-2</v>
      </c>
      <c r="H19" s="43">
        <f>STDEV('Light all data'!$AJ$24:$AJ$26,'Light all data'!$AJ$27:$AJ$29)</f>
        <v>1.3342485570814722</v>
      </c>
      <c r="I19" s="69">
        <f>(SQRT(((F19/Summary!B19)^2)+((H19/Summary!D19)^2)))*Summary!E19</f>
        <v>1.18634594481634</v>
      </c>
    </row>
    <row r="20" spans="1:9" x14ac:dyDescent="0.35">
      <c r="A20" s="74">
        <v>1000</v>
      </c>
      <c r="B20" s="43">
        <f>AVERAGE('Light all data'!$N$31:$N$33,'Light all data'!$N$34:$N$36)</f>
        <v>0.73106249999999717</v>
      </c>
      <c r="C20" s="43">
        <f>AVERAGE('Light all data'!$AH$31:$AH$33,'Light all data'!$AH$34:$AH$36)</f>
        <v>1.9176065313580326</v>
      </c>
      <c r="D20" s="43">
        <f>AVERAGE('Light all data'!$AJ$31:$AJ$33,'Light all data'!$AJ$34:$AJ$36)</f>
        <v>22.932425376236981</v>
      </c>
      <c r="E20" s="69">
        <f t="shared" si="0"/>
        <v>16.765036226615184</v>
      </c>
      <c r="F20" s="43">
        <f>STDEV('Light all data'!$N$31:$N$33,'Light all data'!$N$34:$N$36)</f>
        <v>3.3669617535702051E-2</v>
      </c>
      <c r="G20" s="43">
        <f>STDEV('Light all data'!$AH$31:$AH$33,'Light all data'!$AH$34:$AH$36)</f>
        <v>0.19912583577745291</v>
      </c>
      <c r="H20" s="43">
        <f>STDEV('Light all data'!$AJ$31:$AJ$33,'Light all data'!$AJ$34:$AJ$36)</f>
        <v>1.04875992096055</v>
      </c>
      <c r="I20" s="69">
        <f>(SQRT(((F20/Summary!B20)^2)+((H20/Summary!D20)^2)))*Summary!E20</f>
        <v>1.0881274345396057</v>
      </c>
    </row>
    <row r="21" spans="1:9" ht="16" thickBot="1" x14ac:dyDescent="0.4">
      <c r="A21" s="75">
        <v>1800</v>
      </c>
      <c r="B21" s="70">
        <f>AVERAGE('Light all data'!$N$38:$N$40,'Light all data'!$N$41:$N$43)</f>
        <v>0.71762124999999777</v>
      </c>
      <c r="C21" s="70">
        <f>AVERAGE('Light all data'!$AH$38:$AH$40,'Light all data'!$AH$41:$AH$43)</f>
        <v>1.421701733298983</v>
      </c>
      <c r="D21" s="70">
        <f>AVERAGE('Light all data'!$AJ$38:$AJ$40,'Light all data'!$AJ$41:$AJ$43)</f>
        <v>18.335900800173999</v>
      </c>
      <c r="E21" s="71">
        <f t="shared" si="0"/>
        <v>13.158232052096825</v>
      </c>
      <c r="F21" s="70">
        <f>STDEV('Light all data'!$N$38:$N$40,'Light all data'!$N$41:$N$43)</f>
        <v>1.3201481403613394E-2</v>
      </c>
      <c r="G21" s="70">
        <f>STDEV('Light all data'!$AH$38:$AH$40,'Light all data'!$AH$41:$AH$43)</f>
        <v>0.31161821080326169</v>
      </c>
      <c r="H21" s="70">
        <f>STDEV('Light all data'!$AJ$38:$AJ$40,'Light all data'!$AJ$41:$AJ$43)</f>
        <v>0.79411799060593902</v>
      </c>
      <c r="I21" s="71">
        <f>(SQRT(((F21/Summary!B21)^2)+((H21/Summary!D21)^2)))*Summary!E21</f>
        <v>0.61915438006494972</v>
      </c>
    </row>
    <row r="22" spans="1:9" x14ac:dyDescent="0.35">
      <c r="A22" s="2"/>
      <c r="B22" s="2"/>
      <c r="C22" s="2"/>
      <c r="D22" s="2"/>
    </row>
    <row r="23" spans="1:9" x14ac:dyDescent="0.35">
      <c r="A23" s="2"/>
      <c r="B23" s="43"/>
      <c r="C23" s="43"/>
      <c r="D23" s="43"/>
      <c r="E23" s="2"/>
    </row>
    <row r="24" spans="1:9" x14ac:dyDescent="0.35">
      <c r="D24" s="5"/>
    </row>
    <row r="25" spans="1:9" x14ac:dyDescent="0.35">
      <c r="B25" s="42"/>
      <c r="D25" s="42"/>
    </row>
    <row r="32" spans="1:9" x14ac:dyDescent="0.35">
      <c r="E32" s="5"/>
    </row>
    <row r="46" spans="14:17" ht="16" thickBot="1" x14ac:dyDescent="0.4"/>
    <row r="47" spans="14:17" x14ac:dyDescent="0.35">
      <c r="N47" s="81" t="s">
        <v>38</v>
      </c>
      <c r="O47" s="82"/>
      <c r="P47" s="82"/>
      <c r="Q47" s="83"/>
    </row>
    <row r="48" spans="14:17" x14ac:dyDescent="0.35">
      <c r="N48" s="30"/>
      <c r="O48" s="31"/>
      <c r="P48" s="31"/>
      <c r="Q48" s="32"/>
    </row>
    <row r="49" spans="14:17" x14ac:dyDescent="0.35">
      <c r="N49" s="30"/>
      <c r="O49" s="31"/>
      <c r="P49" s="31"/>
      <c r="Q49" s="32"/>
    </row>
    <row r="50" spans="14:17" x14ac:dyDescent="0.35">
      <c r="N50" s="30"/>
      <c r="O50" s="31"/>
      <c r="P50" s="31"/>
      <c r="Q50" s="32"/>
    </row>
    <row r="51" spans="14:17" x14ac:dyDescent="0.35">
      <c r="N51" s="30"/>
      <c r="O51" s="31"/>
      <c r="P51" s="31"/>
      <c r="Q51" s="32"/>
    </row>
    <row r="52" spans="14:17" x14ac:dyDescent="0.35">
      <c r="N52" s="30"/>
      <c r="O52" s="31"/>
      <c r="P52" s="31"/>
      <c r="Q52" s="32"/>
    </row>
    <row r="53" spans="14:17" x14ac:dyDescent="0.35">
      <c r="N53" s="30" t="s">
        <v>39</v>
      </c>
      <c r="O53" s="31" t="s">
        <v>40</v>
      </c>
      <c r="P53" s="31"/>
      <c r="Q53" s="32" t="s">
        <v>41</v>
      </c>
    </row>
    <row r="54" spans="14:17" x14ac:dyDescent="0.35">
      <c r="N54" s="30" t="s">
        <v>42</v>
      </c>
      <c r="O54" s="31" t="s">
        <v>43</v>
      </c>
      <c r="P54" s="31"/>
      <c r="Q54" s="32"/>
    </row>
    <row r="55" spans="14:17" x14ac:dyDescent="0.35">
      <c r="N55" s="30" t="s">
        <v>44</v>
      </c>
      <c r="O55" s="31" t="s">
        <v>45</v>
      </c>
      <c r="P55" s="31">
        <f>1.9*10^6</f>
        <v>1900000</v>
      </c>
      <c r="Q55" s="32" t="s">
        <v>46</v>
      </c>
    </row>
    <row r="56" spans="14:17" x14ac:dyDescent="0.35">
      <c r="N56" s="30" t="s">
        <v>47</v>
      </c>
      <c r="O56" s="31" t="s">
        <v>48</v>
      </c>
      <c r="P56" s="31">
        <v>1</v>
      </c>
      <c r="Q56" s="32" t="s">
        <v>49</v>
      </c>
    </row>
    <row r="57" spans="14:17" x14ac:dyDescent="0.35">
      <c r="N57" s="30" t="s">
        <v>50</v>
      </c>
      <c r="O57" s="31" t="s">
        <v>51</v>
      </c>
      <c r="P57" s="31">
        <v>264000</v>
      </c>
      <c r="Q57" s="32" t="s">
        <v>52</v>
      </c>
    </row>
    <row r="58" spans="14:17" x14ac:dyDescent="0.35">
      <c r="N58" s="30" t="s">
        <v>53</v>
      </c>
      <c r="O58" s="31" t="s">
        <v>54</v>
      </c>
      <c r="P58" s="31">
        <v>1.25E-3</v>
      </c>
      <c r="Q58" s="32" t="s">
        <v>55</v>
      </c>
    </row>
    <row r="59" spans="14:17" ht="16" thickBot="1" x14ac:dyDescent="0.4">
      <c r="N59" s="33" t="s">
        <v>56</v>
      </c>
      <c r="O59" s="34" t="s">
        <v>57</v>
      </c>
      <c r="P59" s="34">
        <v>5.0000000000000001E-3</v>
      </c>
      <c r="Q59" s="35" t="s">
        <v>55</v>
      </c>
    </row>
  </sheetData>
  <mergeCells count="7">
    <mergeCell ref="A1:I1"/>
    <mergeCell ref="A12:I12"/>
    <mergeCell ref="N47:Q47"/>
    <mergeCell ref="F2:I2"/>
    <mergeCell ref="F13:I13"/>
    <mergeCell ref="B13:E13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47" sqref="I47"/>
    </sheetView>
  </sheetViews>
  <sheetFormatPr defaultColWidth="10.6640625" defaultRowHeight="15.5" x14ac:dyDescent="0.35"/>
  <cols>
    <col min="3" max="3" width="11.83203125" style="6" bestFit="1" customWidth="1"/>
  </cols>
  <sheetData>
    <row r="1" spans="1:36" s="19" customFormat="1" ht="27" customHeight="1" x14ac:dyDescent="0.35">
      <c r="A1" s="37" t="s">
        <v>13</v>
      </c>
      <c r="B1" s="37" t="s">
        <v>18</v>
      </c>
      <c r="C1" s="37" t="s">
        <v>2</v>
      </c>
      <c r="D1" s="37" t="s">
        <v>14</v>
      </c>
      <c r="E1" s="37" t="s">
        <v>15</v>
      </c>
      <c r="F1" s="37" t="s">
        <v>5</v>
      </c>
      <c r="G1" s="37" t="s">
        <v>16</v>
      </c>
      <c r="H1" s="87" t="s">
        <v>19</v>
      </c>
      <c r="I1" s="87"/>
      <c r="J1" s="87"/>
      <c r="K1" s="87"/>
      <c r="L1" s="87"/>
      <c r="M1" s="87"/>
      <c r="N1" s="38" t="s">
        <v>29</v>
      </c>
      <c r="O1" s="38" t="s">
        <v>27</v>
      </c>
      <c r="P1" s="88" t="s">
        <v>11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</row>
    <row r="2" spans="1:36" s="19" customFormat="1" ht="46.5" x14ac:dyDescent="0.35">
      <c r="A2" s="21"/>
      <c r="B2" s="21"/>
      <c r="C2" s="21"/>
      <c r="D2" s="21"/>
      <c r="E2" s="21"/>
      <c r="F2" s="21"/>
      <c r="G2" s="21" t="s">
        <v>17</v>
      </c>
      <c r="H2" s="21" t="s">
        <v>20</v>
      </c>
      <c r="I2" s="21" t="s">
        <v>21</v>
      </c>
      <c r="J2" s="21" t="s">
        <v>22</v>
      </c>
      <c r="K2" s="21" t="s">
        <v>23</v>
      </c>
      <c r="L2" s="21" t="s">
        <v>24</v>
      </c>
      <c r="M2" s="22" t="s">
        <v>25</v>
      </c>
      <c r="N2" s="22" t="s">
        <v>26</v>
      </c>
      <c r="O2" s="22" t="s">
        <v>28</v>
      </c>
      <c r="P2" s="20" t="s">
        <v>31</v>
      </c>
      <c r="Q2" s="20" t="s">
        <v>30</v>
      </c>
      <c r="R2" s="20" t="s">
        <v>32</v>
      </c>
      <c r="S2" s="20" t="s">
        <v>33</v>
      </c>
      <c r="T2" s="20" t="s">
        <v>34</v>
      </c>
      <c r="U2" s="20" t="s">
        <v>15</v>
      </c>
      <c r="V2" s="20" t="s">
        <v>35</v>
      </c>
      <c r="W2" s="20" t="s">
        <v>36</v>
      </c>
      <c r="X2" s="20" t="s">
        <v>37</v>
      </c>
      <c r="Y2" s="21" t="s">
        <v>62</v>
      </c>
      <c r="Z2" s="21" t="s">
        <v>58</v>
      </c>
      <c r="AA2" s="21" t="s">
        <v>69</v>
      </c>
      <c r="AB2" s="21" t="s">
        <v>64</v>
      </c>
      <c r="AC2" s="21" t="s">
        <v>65</v>
      </c>
      <c r="AD2" s="21" t="s">
        <v>63</v>
      </c>
      <c r="AE2" s="21" t="s">
        <v>61</v>
      </c>
      <c r="AF2" s="21" t="s">
        <v>59</v>
      </c>
      <c r="AG2" s="21" t="s">
        <v>60</v>
      </c>
      <c r="AH2" s="21" t="s">
        <v>66</v>
      </c>
      <c r="AI2" s="21" t="s">
        <v>67</v>
      </c>
      <c r="AJ2" s="21" t="s">
        <v>68</v>
      </c>
    </row>
    <row r="3" spans="1:36" x14ac:dyDescent="0.35">
      <c r="A3" s="12">
        <v>43165</v>
      </c>
      <c r="B3" s="13">
        <v>0.35416666666666669</v>
      </c>
      <c r="C3" s="18">
        <v>80</v>
      </c>
      <c r="D3" s="7">
        <v>1.262</v>
      </c>
      <c r="E3" s="7">
        <v>1.268</v>
      </c>
      <c r="F3" s="9">
        <f t="shared" ref="F3:F5" si="0">AVERAGE(D3:E3)</f>
        <v>1.2650000000000001</v>
      </c>
      <c r="G3" s="9">
        <v>171.5</v>
      </c>
      <c r="H3" s="9">
        <v>1475.1</v>
      </c>
      <c r="I3" s="9">
        <v>1479</v>
      </c>
      <c r="J3" s="9">
        <v>1487.3</v>
      </c>
      <c r="K3" s="9">
        <v>1492.9</v>
      </c>
      <c r="L3" s="9">
        <v>5</v>
      </c>
      <c r="M3" s="9">
        <f>(((I3-H3)/L3)+((K3-J3)/L3))/2</f>
        <v>0.95000000000002272</v>
      </c>
      <c r="N3" s="15">
        <f>IF(M3&gt;0,((M3*G3)/400),((((#REF!+M4)/2)*G3)/400))</f>
        <v>0.40731250000000974</v>
      </c>
      <c r="O3" s="15">
        <f t="shared" ref="O3:O5" si="1">G3/400</f>
        <v>0.42875000000000002</v>
      </c>
      <c r="P3" s="10">
        <v>0.33</v>
      </c>
      <c r="Q3" s="10">
        <v>2.42</v>
      </c>
      <c r="R3" s="10">
        <v>4.0000000000000001E-3</v>
      </c>
      <c r="S3" s="10">
        <v>0.28999999999999998</v>
      </c>
      <c r="T3" s="10">
        <v>2.585</v>
      </c>
      <c r="U3" s="10">
        <v>5.0000000000000001E-3</v>
      </c>
      <c r="V3" s="10">
        <v>0.29199999999999998</v>
      </c>
      <c r="W3" s="10">
        <v>2.38</v>
      </c>
      <c r="X3" s="10">
        <v>3.0000000000000001E-3</v>
      </c>
      <c r="Y3" s="36">
        <f>Q3/P3</f>
        <v>7.333333333333333</v>
      </c>
      <c r="Z3" s="36">
        <f>(Q3-R3)/(Summary!$P$55)*Summary!$P$57*(Summary!$P$58/Summary!$P$59)*10^3</f>
        <v>83.924210526315775</v>
      </c>
      <c r="AA3" s="11">
        <f>(Z3)/$M3</f>
        <v>88.341274238225026</v>
      </c>
      <c r="AB3" s="36">
        <f>T3/S3</f>
        <v>8.9137931034482758</v>
      </c>
      <c r="AC3" s="36">
        <f>(T3-U3)/(Summary!$P$55)*Summary!$P$57*(Summary!$P$58/Summary!$P$59)*10^3</f>
        <v>89.621052631578948</v>
      </c>
      <c r="AD3" s="11">
        <f>(AC3)/$M3</f>
        <v>94.337950138501895</v>
      </c>
      <c r="AE3" s="36">
        <f>W3/V3</f>
        <v>8.1506849315068486</v>
      </c>
      <c r="AF3" s="36">
        <f>(W3-X3)/(Summary!$P$55)*Summary!$P$57*(Summary!$P$58/Summary!$P$59)*10^3</f>
        <v>82.569473684210507</v>
      </c>
      <c r="AG3" s="11">
        <f>(AF3)/$M3</f>
        <v>86.915235457061613</v>
      </c>
      <c r="AH3" s="39">
        <f t="shared" ref="AH3:AH8" si="2">AVERAGE(Y3,AB3,AE3)</f>
        <v>8.1326037894294867</v>
      </c>
      <c r="AI3" s="39">
        <f t="shared" ref="AI3:AI5" si="3">AVERAGE(Z3,AC3,AF3)</f>
        <v>85.371578947368405</v>
      </c>
      <c r="AJ3" s="39">
        <f t="shared" ref="AJ3:AJ8" si="4">AVERAGE(AA3,AD3,AG3)</f>
        <v>89.864819944596164</v>
      </c>
    </row>
    <row r="4" spans="1:36" x14ac:dyDescent="0.35">
      <c r="A4" s="12">
        <v>43166</v>
      </c>
      <c r="B4" s="13">
        <v>0.33333333333333331</v>
      </c>
      <c r="C4" s="18">
        <v>80</v>
      </c>
      <c r="D4" s="7">
        <v>1.264</v>
      </c>
      <c r="E4" s="7">
        <v>1.256</v>
      </c>
      <c r="F4" s="9">
        <f t="shared" si="0"/>
        <v>1.26</v>
      </c>
      <c r="G4" s="9">
        <v>169.5</v>
      </c>
      <c r="H4" s="9"/>
      <c r="I4" s="9"/>
      <c r="J4" s="9"/>
      <c r="K4" s="9"/>
      <c r="L4" s="9">
        <v>5</v>
      </c>
      <c r="M4" s="9"/>
      <c r="N4" s="15">
        <f>IF(M4&gt;0,((M4*G4)/400),((((M3+M5)/2)*G4)/400))</f>
        <v>0.4004437500000067</v>
      </c>
      <c r="O4" s="15">
        <f t="shared" si="1"/>
        <v>0.42375000000000002</v>
      </c>
      <c r="P4" s="10">
        <v>0.36</v>
      </c>
      <c r="Q4" s="10">
        <v>2.41</v>
      </c>
      <c r="R4" s="10">
        <v>3.2000000000000001E-2</v>
      </c>
      <c r="S4" s="10">
        <v>0.26300000000000001</v>
      </c>
      <c r="T4" s="10">
        <v>2.415</v>
      </c>
      <c r="U4" s="10">
        <v>2.1000000000000001E-2</v>
      </c>
      <c r="V4" s="10">
        <v>0.36</v>
      </c>
      <c r="W4" s="10">
        <v>2.4500000000000002</v>
      </c>
      <c r="X4" s="10">
        <v>1.2E-2</v>
      </c>
      <c r="Y4" s="36">
        <f t="shared" ref="Y4" si="5">Q4/P4</f>
        <v>6.6944444444444455</v>
      </c>
      <c r="Z4" s="36">
        <f>(Q4-R4)/(Summary!$P$55)*Summary!$P$57*(Summary!$P$58/Summary!$P$59)*10^3</f>
        <v>82.604210526315796</v>
      </c>
      <c r="AA4" s="11">
        <f>(Z4)/(AVERAGE($M3:$M5))</f>
        <v>87.411862990808899</v>
      </c>
      <c r="AB4" s="36">
        <f t="shared" ref="AB4" si="6">T4/S4</f>
        <v>9.1825095057034218</v>
      </c>
      <c r="AC4" s="36">
        <f>(T4-U4)/(Summary!$P$55)*Summary!$P$57*(Summary!$P$58/Summary!$P$59)*10^3</f>
        <v>83.16</v>
      </c>
      <c r="AD4" s="11">
        <f>(AC4)/(AVERAGE($M3:$M5))</f>
        <v>87.999999999998522</v>
      </c>
      <c r="AE4" s="36">
        <f>W4/V4</f>
        <v>6.8055555555555562</v>
      </c>
      <c r="AF4" s="36">
        <f>(W4-X4)/(Summary!$P$55)*Summary!$P$57*(Summary!$P$58/Summary!$P$59)*10^3</f>
        <v>84.688421052631583</v>
      </c>
      <c r="AG4" s="11">
        <f>(AF4)/(AVERAGE($M3:$M5))</f>
        <v>89.617376775270017</v>
      </c>
      <c r="AH4" s="39">
        <f t="shared" si="2"/>
        <v>7.5608365019011421</v>
      </c>
      <c r="AI4" s="39">
        <f t="shared" si="3"/>
        <v>83.484210526315792</v>
      </c>
      <c r="AJ4" s="39">
        <f t="shared" si="4"/>
        <v>88.343079922025822</v>
      </c>
    </row>
    <row r="5" spans="1:36" x14ac:dyDescent="0.35">
      <c r="A5" s="12">
        <v>43167</v>
      </c>
      <c r="B5" s="13">
        <v>0.33333333333333331</v>
      </c>
      <c r="C5" s="18">
        <v>80</v>
      </c>
      <c r="D5" s="7">
        <v>1.25</v>
      </c>
      <c r="E5" s="7">
        <v>1.256</v>
      </c>
      <c r="F5" s="9">
        <f t="shared" si="0"/>
        <v>1.2530000000000001</v>
      </c>
      <c r="G5" s="9">
        <v>170.2</v>
      </c>
      <c r="H5" s="9">
        <v>1474.5</v>
      </c>
      <c r="I5" s="9">
        <v>1479.3</v>
      </c>
      <c r="J5" s="9">
        <v>1486.8</v>
      </c>
      <c r="K5" s="9">
        <v>1491.4</v>
      </c>
      <c r="L5" s="9">
        <v>5</v>
      </c>
      <c r="M5" s="9">
        <f>(((I5-H5)/L5)+((K5-J5)/L5))/2</f>
        <v>0.94000000000000905</v>
      </c>
      <c r="N5" s="15">
        <f>IF(M5&gt;0,((M5*G5)/400),((((M4+#REF!)/2)*G5)/400))</f>
        <v>0.39997000000000382</v>
      </c>
      <c r="O5" s="15">
        <f t="shared" si="1"/>
        <v>0.42549999999999999</v>
      </c>
      <c r="P5" s="10">
        <v>0.36699999999999999</v>
      </c>
      <c r="Q5" s="10">
        <v>2.4700000000000002</v>
      </c>
      <c r="R5" s="10">
        <v>4.8000000000000001E-2</v>
      </c>
      <c r="S5" s="10">
        <v>0.26200000000000001</v>
      </c>
      <c r="T5" s="10">
        <v>2.4300000000000002</v>
      </c>
      <c r="U5" s="10">
        <v>2.4E-2</v>
      </c>
      <c r="V5" s="10">
        <v>0.33100000000000002</v>
      </c>
      <c r="W5" s="10">
        <v>2.3889999999999998</v>
      </c>
      <c r="X5" s="10">
        <v>3.4000000000000002E-2</v>
      </c>
      <c r="Y5" s="36">
        <f>Q5/P5</f>
        <v>6.73024523160763</v>
      </c>
      <c r="Z5" s="36">
        <f>(Q5-R5)/(Summary!$P$55)*Summary!$P$57*(Summary!$P$58/Summary!$P$59)*10^3</f>
        <v>84.132631578947382</v>
      </c>
      <c r="AA5" s="11">
        <f>(Z5)/$M5</f>
        <v>89.502799552070826</v>
      </c>
      <c r="AB5" s="36">
        <f>T5/S5</f>
        <v>9.2748091603053435</v>
      </c>
      <c r="AC5" s="36">
        <f>(T5-U5)/(Summary!$P$55)*Summary!$P$57*(Summary!$P$58/Summary!$P$59)*10^3</f>
        <v>83.576842105263168</v>
      </c>
      <c r="AD5" s="11">
        <f>(AC5)/$M5</f>
        <v>88.911534154534422</v>
      </c>
      <c r="AE5" s="36">
        <f t="shared" ref="AE5" si="7">W5/V5</f>
        <v>7.217522658610271</v>
      </c>
      <c r="AF5" s="36">
        <f>(W5-X5)/(Summary!$P$55)*Summary!$P$57*(Summary!$P$58/Summary!$P$59)*10^3</f>
        <v>81.805263157894728</v>
      </c>
      <c r="AG5" s="11">
        <f>(AF5)/$M5</f>
        <v>87.026875699887171</v>
      </c>
      <c r="AH5" s="39">
        <f t="shared" si="2"/>
        <v>7.7408590168410818</v>
      </c>
      <c r="AI5" s="39">
        <f t="shared" si="3"/>
        <v>83.171578947368417</v>
      </c>
      <c r="AJ5" s="39">
        <f t="shared" si="4"/>
        <v>88.480403135497468</v>
      </c>
    </row>
    <row r="6" spans="1:36" x14ac:dyDescent="0.35">
      <c r="A6" s="12">
        <v>43165</v>
      </c>
      <c r="B6" s="13">
        <v>0.35416666666666669</v>
      </c>
      <c r="C6" s="18">
        <v>80</v>
      </c>
      <c r="D6" s="7">
        <v>1.194</v>
      </c>
      <c r="E6" s="7">
        <v>1.1879999999999999</v>
      </c>
      <c r="F6" s="9">
        <f t="shared" ref="F6:F12" si="8">AVERAGE(D6:E6)</f>
        <v>1.1909999999999998</v>
      </c>
      <c r="G6" s="9">
        <v>171.5</v>
      </c>
      <c r="H6" s="9">
        <v>1463.8</v>
      </c>
      <c r="I6" s="9">
        <v>1469</v>
      </c>
      <c r="J6" s="9">
        <v>1478.2</v>
      </c>
      <c r="K6" s="9">
        <v>1483.3</v>
      </c>
      <c r="L6" s="9">
        <v>5</v>
      </c>
      <c r="M6" s="9">
        <f>(((I6-H6)/L6)+((K6-J6)/L6))/2</f>
        <v>1.0299999999999954</v>
      </c>
      <c r="N6" s="15">
        <f>IF(M6&gt;0,((M6*G6)/400),((((#REF!+M7)/2)*G6)/400))</f>
        <v>0.44161249999999802</v>
      </c>
      <c r="O6" s="15">
        <f t="shared" ref="O6:O12" si="9">G6/400</f>
        <v>0.42875000000000002</v>
      </c>
      <c r="P6" s="10">
        <v>0.32800000000000001</v>
      </c>
      <c r="Q6" s="10">
        <v>2.4500000000000002</v>
      </c>
      <c r="R6" s="10">
        <v>4.0000000000000001E-3</v>
      </c>
      <c r="S6" s="10">
        <v>0.35299999999999998</v>
      </c>
      <c r="T6" s="10">
        <v>2.5350000000000001</v>
      </c>
      <c r="U6" s="10">
        <v>8.0000000000000002E-3</v>
      </c>
      <c r="V6" s="10">
        <v>0.38400000000000001</v>
      </c>
      <c r="W6" s="10">
        <v>2.456</v>
      </c>
      <c r="X6" s="10">
        <v>3.0000000000000001E-3</v>
      </c>
      <c r="Y6" s="36">
        <f>Q6/P6</f>
        <v>7.4695121951219514</v>
      </c>
      <c r="Z6" s="36">
        <f>(Q6-R6)/(Summary!$P$55)*Summary!$P$57*(Summary!$P$58/Summary!$P$59)*10^3</f>
        <v>84.966315789473697</v>
      </c>
      <c r="AA6" s="11">
        <f>(Z6)/$M6</f>
        <v>82.491568727644733</v>
      </c>
      <c r="AB6" s="36">
        <f>T6/S6</f>
        <v>7.1813031161473093</v>
      </c>
      <c r="AC6" s="36">
        <f>(T6-U6)/(Summary!$P$55)*Summary!$P$57*(Summary!$P$58/Summary!$P$59)*10^3</f>
        <v>87.78</v>
      </c>
      <c r="AD6" s="11">
        <f>(AC6)/$M6</f>
        <v>85.223300970874178</v>
      </c>
      <c r="AE6" s="36">
        <f>W6/V6</f>
        <v>6.395833333333333</v>
      </c>
      <c r="AF6" s="36">
        <f>(W6-X6)/(Summary!$P$55)*Summary!$P$57*(Summary!$P$58/Summary!$P$59)*10^3</f>
        <v>85.209473684210522</v>
      </c>
      <c r="AG6" s="11">
        <f>(AF6)/$M6</f>
        <v>82.727644353602827</v>
      </c>
      <c r="AH6" s="39">
        <f t="shared" si="2"/>
        <v>7.0155495482008652</v>
      </c>
      <c r="AI6" s="39">
        <f t="shared" ref="AI6:AI8" si="10">AVERAGE(Z6,AC6,AF6)</f>
        <v>85.985263157894735</v>
      </c>
      <c r="AJ6" s="39">
        <f t="shared" si="4"/>
        <v>83.480838017373912</v>
      </c>
    </row>
    <row r="7" spans="1:36" x14ac:dyDescent="0.35">
      <c r="A7" s="12">
        <v>43166</v>
      </c>
      <c r="B7" s="13">
        <v>0.33333333333333331</v>
      </c>
      <c r="C7" s="18">
        <v>80</v>
      </c>
      <c r="D7" s="7">
        <v>1.288</v>
      </c>
      <c r="E7" s="7">
        <v>1.256</v>
      </c>
      <c r="F7" s="9">
        <f t="shared" si="8"/>
        <v>1.272</v>
      </c>
      <c r="G7" s="9">
        <v>178</v>
      </c>
      <c r="H7" s="9"/>
      <c r="I7" s="9"/>
      <c r="J7" s="9"/>
      <c r="K7" s="9"/>
      <c r="L7" s="9">
        <v>5</v>
      </c>
      <c r="M7" s="9"/>
      <c r="N7" s="15">
        <f t="shared" ref="N7:N8" si="11">IF(M7&gt;0,((M7*G7)/400),((((M6+M8)/2)*G7)/400))</f>
        <v>0.45390000000000197</v>
      </c>
      <c r="O7" s="15">
        <f t="shared" si="9"/>
        <v>0.44500000000000001</v>
      </c>
      <c r="P7" s="10">
        <v>0.35099999999999998</v>
      </c>
      <c r="Q7" s="10">
        <v>2.5099999999999998</v>
      </c>
      <c r="R7" s="10">
        <v>1.6E-2</v>
      </c>
      <c r="S7" s="10">
        <v>0.32100000000000001</v>
      </c>
      <c r="T7" s="10">
        <v>2.4239999999999999</v>
      </c>
      <c r="U7" s="10">
        <v>3.4000000000000002E-2</v>
      </c>
      <c r="V7" s="10">
        <v>0.32600000000000001</v>
      </c>
      <c r="W7" s="10">
        <v>2.33</v>
      </c>
      <c r="X7" s="10">
        <v>2.4E-2</v>
      </c>
      <c r="Y7" s="36">
        <f t="shared" ref="Y7:Y8" si="12">Q7/P7</f>
        <v>7.1509971509971511</v>
      </c>
      <c r="Z7" s="36">
        <f>(Q7-R7)/(Summary!$P$55)*Summary!$P$57*(Summary!$P$58/Summary!$P$59)*10^3</f>
        <v>86.633684210526312</v>
      </c>
      <c r="AA7" s="11">
        <f>(Z7)/(AVERAGE($M6:$M8))</f>
        <v>84.934984520123464</v>
      </c>
      <c r="AB7" s="36">
        <f t="shared" ref="AB7:AB8" si="13">T7/S7</f>
        <v>7.5514018691588785</v>
      </c>
      <c r="AC7" s="36">
        <f>(T7-U7)/(Summary!$P$55)*Summary!$P$57*(Summary!$P$58/Summary!$P$59)*10^3</f>
        <v>83.021052631578954</v>
      </c>
      <c r="AD7" s="11">
        <f>(AC7)/(AVERAGE($M6:$M8))</f>
        <v>81.393188854488812</v>
      </c>
      <c r="AE7" s="36">
        <f t="shared" ref="AE7:AE8" si="14">W7/V7</f>
        <v>7.147239263803681</v>
      </c>
      <c r="AF7" s="36">
        <f>(W7-X7)/(Summary!$P$55)*Summary!$P$57*(Summary!$P$58/Summary!$P$59)*10^3</f>
        <v>80.103157894736853</v>
      </c>
      <c r="AG7" s="11">
        <f>(AF7)/(AVERAGE($M6:$M8))</f>
        <v>78.532507739937742</v>
      </c>
      <c r="AH7" s="39">
        <f t="shared" si="2"/>
        <v>7.2832127613199029</v>
      </c>
      <c r="AI7" s="39">
        <f t="shared" si="10"/>
        <v>83.252631578947373</v>
      </c>
      <c r="AJ7" s="39">
        <f t="shared" si="4"/>
        <v>81.62022703818333</v>
      </c>
    </row>
    <row r="8" spans="1:36" x14ac:dyDescent="0.35">
      <c r="A8" s="12">
        <v>43167</v>
      </c>
      <c r="B8" s="13">
        <v>0.33333333333333331</v>
      </c>
      <c r="C8" s="18">
        <v>80</v>
      </c>
      <c r="D8" s="7">
        <v>1.194</v>
      </c>
      <c r="E8" s="7">
        <v>1.18</v>
      </c>
      <c r="F8" s="9">
        <f t="shared" si="8"/>
        <v>1.1869999999999998</v>
      </c>
      <c r="G8" s="9">
        <v>180</v>
      </c>
      <c r="H8" s="9">
        <v>1486.1</v>
      </c>
      <c r="I8" s="9">
        <v>1491.7</v>
      </c>
      <c r="J8" s="9">
        <v>1468</v>
      </c>
      <c r="K8" s="9">
        <v>1472.5</v>
      </c>
      <c r="L8" s="9">
        <v>5</v>
      </c>
      <c r="M8" s="9">
        <f>(((I8-H8)/L8)+((K8-J8)/L8))/2</f>
        <v>1.0100000000000136</v>
      </c>
      <c r="N8" s="15">
        <f t="shared" si="11"/>
        <v>0.45450000000000607</v>
      </c>
      <c r="O8" s="15">
        <f t="shared" si="9"/>
        <v>0.45</v>
      </c>
      <c r="P8" s="10">
        <v>0.38600000000000001</v>
      </c>
      <c r="Q8" s="10">
        <v>2.5</v>
      </c>
      <c r="R8" s="10">
        <v>5.0999999999999997E-2</v>
      </c>
      <c r="S8" s="10">
        <v>0.31900000000000001</v>
      </c>
      <c r="T8" s="10">
        <v>2.48</v>
      </c>
      <c r="U8" s="10">
        <v>4.0000000000000001E-3</v>
      </c>
      <c r="V8" s="10">
        <v>0.32300000000000001</v>
      </c>
      <c r="W8" s="10">
        <v>2.52</v>
      </c>
      <c r="X8" s="10">
        <v>3.3000000000000002E-2</v>
      </c>
      <c r="Y8" s="36">
        <f t="shared" si="12"/>
        <v>6.4766839378238341</v>
      </c>
      <c r="Z8" s="36">
        <f>(Q8-R8)/(Summary!$P$55)*Summary!$P$57*(Summary!$P$58/Summary!$P$59)*10^3</f>
        <v>85.070526315789465</v>
      </c>
      <c r="AA8" s="11">
        <f>(Z8)/$M8</f>
        <v>84.228243877018144</v>
      </c>
      <c r="AB8" s="36">
        <f t="shared" si="13"/>
        <v>7.7742946708463947</v>
      </c>
      <c r="AC8" s="36">
        <f>(T8-U8)/(Summary!$P$55)*Summary!$P$57*(Summary!$P$58/Summary!$P$59)*10^3</f>
        <v>86.008421052631562</v>
      </c>
      <c r="AD8" s="11">
        <f>(AC8)/$M8</f>
        <v>85.156852527356833</v>
      </c>
      <c r="AE8" s="36">
        <f t="shared" si="14"/>
        <v>7.8018575851393184</v>
      </c>
      <c r="AF8" s="36">
        <f>(W8-X8)/(Summary!$P$55)*Summary!$P$57*(Summary!$P$58/Summary!$P$59)*10^3</f>
        <v>86.390526315789472</v>
      </c>
      <c r="AG8" s="11">
        <f>(AF8)/$M8</f>
        <v>85.535174570087435</v>
      </c>
      <c r="AH8" s="39">
        <f t="shared" si="2"/>
        <v>7.350945397936516</v>
      </c>
      <c r="AI8" s="39">
        <f t="shared" si="10"/>
        <v>85.823157894736838</v>
      </c>
      <c r="AJ8" s="39">
        <f t="shared" si="4"/>
        <v>84.973423658154132</v>
      </c>
    </row>
    <row r="9" spans="1:36" s="16" customFormat="1" x14ac:dyDescent="0.35">
      <c r="C9" s="17"/>
    </row>
    <row r="10" spans="1:36" x14ac:dyDescent="0.35">
      <c r="A10" s="12">
        <v>43165</v>
      </c>
      <c r="B10" s="13">
        <v>0.35416666666666669</v>
      </c>
      <c r="C10" s="18">
        <v>160</v>
      </c>
      <c r="D10" s="7">
        <v>1.194</v>
      </c>
      <c r="E10" s="7">
        <v>1.1879999999999999</v>
      </c>
      <c r="F10" s="9">
        <f t="shared" si="8"/>
        <v>1.1909999999999998</v>
      </c>
      <c r="G10" s="9">
        <v>337</v>
      </c>
      <c r="H10" s="9">
        <v>1471.5</v>
      </c>
      <c r="I10" s="9">
        <v>1476.5</v>
      </c>
      <c r="J10" s="9">
        <v>1485.2</v>
      </c>
      <c r="K10" s="9">
        <v>1489.8</v>
      </c>
      <c r="L10" s="9">
        <v>5</v>
      </c>
      <c r="M10" s="9">
        <f>(((I10-H10)/L10)+((K10-J10)/L10))/2</f>
        <v>0.95999999999999086</v>
      </c>
      <c r="N10" s="15">
        <f>IF(M10&gt;0,((M10*G10)/400),((((#REF!+M11)/2)*G10)/400))</f>
        <v>0.8087999999999923</v>
      </c>
      <c r="O10" s="15">
        <f t="shared" si="9"/>
        <v>0.84250000000000003</v>
      </c>
      <c r="P10" s="10">
        <v>0.31900000000000001</v>
      </c>
      <c r="Q10" s="10">
        <v>1.36</v>
      </c>
      <c r="R10" s="10">
        <v>2E-3</v>
      </c>
      <c r="S10" s="10">
        <v>0.29099999999999998</v>
      </c>
      <c r="T10" s="10">
        <v>1.38</v>
      </c>
      <c r="U10" s="10">
        <v>2E-3</v>
      </c>
      <c r="V10" s="10">
        <v>0.28999999999999998</v>
      </c>
      <c r="W10" s="10">
        <v>1.42</v>
      </c>
      <c r="X10" s="10">
        <v>3.0000000000000001E-3</v>
      </c>
      <c r="Y10" s="36">
        <f>Q10/P10</f>
        <v>4.2633228840125392</v>
      </c>
      <c r="Z10" s="36">
        <f>(Q10-R10)/(Summary!$P$55)*Summary!$P$57*(Summary!$P$58/Summary!$P$59)*10^3</f>
        <v>47.172631578947374</v>
      </c>
      <c r="AA10" s="11">
        <f>(Z10)/$M10</f>
        <v>49.138157894737319</v>
      </c>
      <c r="AB10" s="36">
        <f>T10/S10</f>
        <v>4.7422680412371134</v>
      </c>
      <c r="AC10" s="36">
        <f>(T10-U10)/(Summary!$P$55)*Summary!$P$57*(Summary!$P$58/Summary!$P$59)*10^3</f>
        <v>47.867368421052632</v>
      </c>
      <c r="AD10" s="11">
        <f>(AC10)/$M10</f>
        <v>49.861842105263634</v>
      </c>
      <c r="AE10" s="36">
        <f>W10/V10</f>
        <v>4.8965517241379315</v>
      </c>
      <c r="AF10" s="36">
        <f>(W10-X10)/(Summary!$P$55)*Summary!$P$57*(Summary!$P$58/Summary!$P$59)*10^3</f>
        <v>49.222105263157893</v>
      </c>
      <c r="AG10" s="11">
        <f>(AF10)/$M10</f>
        <v>51.273026315789963</v>
      </c>
      <c r="AH10" s="39">
        <f t="shared" ref="AH10:AH15" si="15">AVERAGE(Y10,AB10,AE10)</f>
        <v>4.634047549795862</v>
      </c>
      <c r="AI10" s="39">
        <f t="shared" ref="AI10:AI12" si="16">AVERAGE(Z10,AC10,AF10)</f>
        <v>48.087368421052638</v>
      </c>
      <c r="AJ10" s="39">
        <f t="shared" ref="AJ10:AJ15" si="17">AVERAGE(AA10,AD10,AG10)</f>
        <v>50.091008771930298</v>
      </c>
    </row>
    <row r="11" spans="1:36" x14ac:dyDescent="0.35">
      <c r="A11" s="12">
        <v>43166</v>
      </c>
      <c r="B11" s="13">
        <v>0.33333333333333331</v>
      </c>
      <c r="C11" s="18">
        <v>160</v>
      </c>
      <c r="D11" s="7">
        <v>1.288</v>
      </c>
      <c r="E11" s="7">
        <v>1.256</v>
      </c>
      <c r="F11" s="9">
        <f t="shared" si="8"/>
        <v>1.272</v>
      </c>
      <c r="G11" s="9">
        <v>332</v>
      </c>
      <c r="H11" s="9"/>
      <c r="I11" s="9"/>
      <c r="J11" s="9"/>
      <c r="K11" s="9"/>
      <c r="L11" s="9">
        <v>5</v>
      </c>
      <c r="M11" s="9"/>
      <c r="N11" s="15">
        <f t="shared" ref="N11" si="18">IF(M11&gt;0,((M11*G11)/400),((((M10+M12)/2)*G11)/400))</f>
        <v>0.82169999999999799</v>
      </c>
      <c r="O11" s="15">
        <f t="shared" si="9"/>
        <v>0.83</v>
      </c>
      <c r="P11" s="10">
        <v>0.371</v>
      </c>
      <c r="Q11" s="10">
        <v>1.34</v>
      </c>
      <c r="R11" s="10">
        <v>3.1E-2</v>
      </c>
      <c r="S11" s="10">
        <v>0.42399999999999999</v>
      </c>
      <c r="T11" s="10">
        <v>1.32</v>
      </c>
      <c r="U11" s="10">
        <v>0.03</v>
      </c>
      <c r="V11" s="10">
        <v>0.28899999999999998</v>
      </c>
      <c r="W11" s="10">
        <v>1.3859999999999999</v>
      </c>
      <c r="X11" s="10">
        <v>0.09</v>
      </c>
      <c r="Y11" s="36">
        <f t="shared" ref="Y11:Y12" si="19">Q11/P11</f>
        <v>3.611859838274933</v>
      </c>
      <c r="Z11" s="36">
        <f>(Q11-R11)/(Summary!$P$55)*Summary!$P$57*(Summary!$P$58/Summary!$P$59)*10^3</f>
        <v>45.470526315789485</v>
      </c>
      <c r="AA11" s="11">
        <f>(Z11)/(AVERAGE($M10:$M12))</f>
        <v>45.929824561403628</v>
      </c>
      <c r="AB11" s="36">
        <f t="shared" ref="AB11:AB12" si="20">T11/S11</f>
        <v>3.1132075471698117</v>
      </c>
      <c r="AC11" s="36">
        <f>(T11-U11)/(Summary!$P$55)*Summary!$P$57*(Summary!$P$58/Summary!$P$59)*10^3</f>
        <v>44.810526315789474</v>
      </c>
      <c r="AD11" s="11">
        <f>(AC11)/(AVERAGE($M10:$M12))</f>
        <v>45.263157894736949</v>
      </c>
      <c r="AE11" s="36">
        <f t="shared" ref="AE11" si="21">W11/V11</f>
        <v>4.7958477508650521</v>
      </c>
      <c r="AF11" s="36">
        <f>(W11-X11)/(Summary!$P$55)*Summary!$P$57*(Summary!$P$58/Summary!$P$59)*10^3</f>
        <v>45.018947368421038</v>
      </c>
      <c r="AG11" s="11">
        <f>(AF11)/(AVERAGE($M10:$M12))</f>
        <v>45.473684210526407</v>
      </c>
      <c r="AH11" s="39">
        <f t="shared" si="15"/>
        <v>3.8403050454365988</v>
      </c>
      <c r="AI11" s="39">
        <f t="shared" si="16"/>
        <v>45.1</v>
      </c>
      <c r="AJ11" s="39">
        <f t="shared" si="17"/>
        <v>45.555555555555664</v>
      </c>
    </row>
    <row r="12" spans="1:36" x14ac:dyDescent="0.35">
      <c r="A12" s="12">
        <v>43167</v>
      </c>
      <c r="B12" s="13">
        <v>0.33333333333333331</v>
      </c>
      <c r="C12" s="18">
        <v>160</v>
      </c>
      <c r="D12" s="7">
        <v>1.194</v>
      </c>
      <c r="E12" s="7">
        <v>1.18</v>
      </c>
      <c r="F12" s="9">
        <f t="shared" si="8"/>
        <v>1.1869999999999998</v>
      </c>
      <c r="G12" s="9">
        <v>340</v>
      </c>
      <c r="H12" s="9">
        <v>1481.3</v>
      </c>
      <c r="I12" s="9">
        <v>1486</v>
      </c>
      <c r="J12" s="9">
        <v>1473.5</v>
      </c>
      <c r="K12" s="9">
        <v>1479</v>
      </c>
      <c r="L12" s="9">
        <v>5</v>
      </c>
      <c r="M12" s="9">
        <f>(((I12-H12)/L12)+((K12-J12)/L12))/2</f>
        <v>1.0200000000000045</v>
      </c>
      <c r="N12" s="15">
        <f>IF(M12&gt;0,((M12*G12)/400),((((M11+#REF!)/2)*G12)/400))</f>
        <v>0.86700000000000377</v>
      </c>
      <c r="O12" s="15">
        <f t="shared" si="9"/>
        <v>0.85</v>
      </c>
      <c r="P12" s="10">
        <v>0.35699999999999998</v>
      </c>
      <c r="Q12" s="10">
        <v>1.3520000000000001</v>
      </c>
      <c r="R12" s="10">
        <v>4.2000000000000003E-2</v>
      </c>
      <c r="S12" s="10">
        <v>0.254</v>
      </c>
      <c r="T12" s="10">
        <v>1.37</v>
      </c>
      <c r="U12" s="10">
        <v>0.02</v>
      </c>
      <c r="V12" s="10">
        <v>0.35199999999999998</v>
      </c>
      <c r="W12" s="10">
        <v>1.286</v>
      </c>
      <c r="X12" s="10">
        <v>4.2999999999999997E-2</v>
      </c>
      <c r="Y12" s="36">
        <f t="shared" si="19"/>
        <v>3.7871148459383757</v>
      </c>
      <c r="Z12" s="36">
        <f>(Q12-R12)/(Summary!$P$55)*Summary!$P$57*(Summary!$P$58/Summary!$P$59)*10^3</f>
        <v>45.505263157894738</v>
      </c>
      <c r="AA12" s="11">
        <f>(Z12)/$M12</f>
        <v>44.613003095975039</v>
      </c>
      <c r="AB12" s="36">
        <f t="shared" si="20"/>
        <v>5.393700787401575</v>
      </c>
      <c r="AC12" s="36">
        <f>(T12-U12)/(Summary!$P$55)*Summary!$P$57*(Summary!$P$58/Summary!$P$59)*10^3</f>
        <v>46.894736842105267</v>
      </c>
      <c r="AD12" s="11">
        <f>(AC12)/$M12</f>
        <v>45.975232198142216</v>
      </c>
      <c r="AE12" s="36">
        <f>W12/V12</f>
        <v>3.6534090909090913</v>
      </c>
      <c r="AF12" s="36">
        <f>(W12-X12)/(Summary!$P$55)*Summary!$P$57*(Summary!$P$58/Summary!$P$59)*10^3</f>
        <v>43.177894736842113</v>
      </c>
      <c r="AG12" s="11">
        <f>(AF12)/$M12</f>
        <v>42.331269349845023</v>
      </c>
      <c r="AH12" s="39">
        <f t="shared" si="15"/>
        <v>4.2780749080830143</v>
      </c>
      <c r="AI12" s="39">
        <f t="shared" si="16"/>
        <v>45.192631578947378</v>
      </c>
      <c r="AJ12" s="39">
        <f t="shared" si="17"/>
        <v>44.30650154798743</v>
      </c>
    </row>
    <row r="13" spans="1:36" x14ac:dyDescent="0.35">
      <c r="A13" s="12">
        <v>43165</v>
      </c>
      <c r="B13" s="13">
        <v>0.35416666666666669</v>
      </c>
      <c r="C13" s="18">
        <v>160</v>
      </c>
      <c r="D13" s="7">
        <v>1.28</v>
      </c>
      <c r="E13" s="7">
        <v>1.198</v>
      </c>
      <c r="F13" s="9">
        <f t="shared" ref="F13:F29" si="22">AVERAGE(D13:E13)</f>
        <v>1.2389999999999999</v>
      </c>
      <c r="G13" s="9">
        <v>323</v>
      </c>
      <c r="H13" s="9">
        <v>1468.7</v>
      </c>
      <c r="I13" s="9">
        <v>1473.4</v>
      </c>
      <c r="J13" s="9">
        <v>1483.7</v>
      </c>
      <c r="K13" s="9">
        <v>1488.5</v>
      </c>
      <c r="L13" s="9">
        <v>5</v>
      </c>
      <c r="M13" s="9">
        <f>(((I13-H13)/L13)+((K13-J13)/L13))/2</f>
        <v>0.95</v>
      </c>
      <c r="N13" s="15">
        <f>IF(M13&gt;0,((M13*G13)/400),((((#REF!+M14)/2)*G13)/400))</f>
        <v>0.76712499999999995</v>
      </c>
      <c r="O13" s="15">
        <f t="shared" ref="O13:O26" si="23">G13/400</f>
        <v>0.8075</v>
      </c>
      <c r="P13" s="10">
        <v>0.307</v>
      </c>
      <c r="Q13" s="10">
        <v>1.3140000000000001</v>
      </c>
      <c r="R13" s="10">
        <v>1E-3</v>
      </c>
      <c r="S13" s="10">
        <v>0.3</v>
      </c>
      <c r="T13" s="10">
        <v>1.42</v>
      </c>
      <c r="U13" s="10">
        <v>3.0000000000000001E-3</v>
      </c>
      <c r="V13" s="10">
        <v>0.314</v>
      </c>
      <c r="W13" s="10">
        <v>1.34</v>
      </c>
      <c r="X13" s="10">
        <v>2E-3</v>
      </c>
      <c r="Y13" s="36">
        <f>Q13/P13</f>
        <v>4.2801302931596092</v>
      </c>
      <c r="Z13" s="36">
        <f>(Q13-R13)/(Summary!$P$55)*Summary!$P$57*(Summary!$P$58/Summary!$P$59)*10^3</f>
        <v>45.609473684210535</v>
      </c>
      <c r="AA13" s="11">
        <f>(Z13)/$M13</f>
        <v>48.009972299168986</v>
      </c>
      <c r="AB13" s="36">
        <f>T13/S13</f>
        <v>4.7333333333333334</v>
      </c>
      <c r="AC13" s="36">
        <f>(T13-U13)/(Summary!$P$55)*Summary!$P$57*(Summary!$P$58/Summary!$P$59)*10^3</f>
        <v>49.222105263157893</v>
      </c>
      <c r="AD13" s="11">
        <f>(AC13)/$M13</f>
        <v>51.812742382271466</v>
      </c>
      <c r="AE13" s="36">
        <f>W13/V13</f>
        <v>4.2675159235668794</v>
      </c>
      <c r="AF13" s="36">
        <f>(W13-X13)/(Summary!$P$55)*Summary!$P$57*(Summary!$P$58/Summary!$P$59)*10^3</f>
        <v>46.47789473684211</v>
      </c>
      <c r="AG13" s="11">
        <f>(AF13)/$M13</f>
        <v>48.924099722991699</v>
      </c>
      <c r="AH13" s="39">
        <f t="shared" si="15"/>
        <v>4.4269931833532743</v>
      </c>
      <c r="AI13" s="39">
        <f t="shared" ref="AI13:AI15" si="24">AVERAGE(Z13,AC13,AF13)</f>
        <v>47.103157894736846</v>
      </c>
      <c r="AJ13" s="39">
        <f t="shared" si="17"/>
        <v>49.58227146814405</v>
      </c>
    </row>
    <row r="14" spans="1:36" x14ac:dyDescent="0.35">
      <c r="A14" s="12">
        <v>43166</v>
      </c>
      <c r="B14" s="13">
        <v>0.33333333333333331</v>
      </c>
      <c r="C14" s="18">
        <v>160</v>
      </c>
      <c r="D14" s="7">
        <v>1.31</v>
      </c>
      <c r="E14" s="7">
        <v>1.284</v>
      </c>
      <c r="F14" s="9">
        <f t="shared" si="22"/>
        <v>1.2970000000000002</v>
      </c>
      <c r="G14" s="9">
        <v>330</v>
      </c>
      <c r="H14" s="9"/>
      <c r="I14" s="9"/>
      <c r="J14" s="9"/>
      <c r="K14" s="9"/>
      <c r="L14" s="9">
        <v>5</v>
      </c>
      <c r="M14" s="9"/>
      <c r="N14" s="15">
        <f t="shared" ref="N14" si="25">IF(M14&gt;0,((M14*G14)/400),((((M13+M15)/2)*G14)/400))</f>
        <v>0.80024999999999424</v>
      </c>
      <c r="O14" s="15">
        <f t="shared" si="23"/>
        <v>0.82499999999999996</v>
      </c>
      <c r="P14" s="10">
        <v>0.33800000000000002</v>
      </c>
      <c r="Q14" s="10">
        <v>1.3140000000000001</v>
      </c>
      <c r="R14" s="10">
        <v>1.9E-2</v>
      </c>
      <c r="S14" s="10">
        <v>0.33700000000000002</v>
      </c>
      <c r="T14" s="10">
        <v>1.3320000000000001</v>
      </c>
      <c r="U14" s="10">
        <v>1.7000000000000001E-2</v>
      </c>
      <c r="V14" s="10">
        <v>0.32600000000000001</v>
      </c>
      <c r="W14" s="10">
        <v>1.3979999999999999</v>
      </c>
      <c r="X14" s="10">
        <v>1.4E-2</v>
      </c>
      <c r="Y14" s="36">
        <f t="shared" ref="Y14:Y15" si="26">Q14/P14</f>
        <v>3.8875739644970415</v>
      </c>
      <c r="Z14" s="36">
        <f>(Q14-R14)/(Summary!$P$55)*Summary!$P$57*(Summary!$P$58/Summary!$P$59)*10^3</f>
        <v>44.984210526315792</v>
      </c>
      <c r="AA14" s="11">
        <f>(Z14)/(AVERAGE($M13:$M15))</f>
        <v>46.375474769398053</v>
      </c>
      <c r="AB14" s="36">
        <f t="shared" ref="AB14:AB15" si="27">T14/S14</f>
        <v>3.9525222551928785</v>
      </c>
      <c r="AC14" s="36">
        <f>(T14-U14)/(Summary!$P$55)*Summary!$P$57*(Summary!$P$58/Summary!$P$59)*10^3</f>
        <v>45.678947368421056</v>
      </c>
      <c r="AD14" s="11">
        <f>(AC14)/(AVERAGE($M13:$M15))</f>
        <v>47.091698317960187</v>
      </c>
      <c r="AE14" s="36">
        <f t="shared" ref="AE14:AE15" si="28">W14/V14</f>
        <v>4.2883435582822083</v>
      </c>
      <c r="AF14" s="36">
        <f>(W14-X14)/(Summary!$P$55)*Summary!$P$57*(Summary!$P$58/Summary!$P$59)*10^3</f>
        <v>48.07578947368421</v>
      </c>
      <c r="AG14" s="11">
        <f>(AF14)/(AVERAGE($M13:$M15))</f>
        <v>49.562669560499536</v>
      </c>
      <c r="AH14" s="39">
        <f t="shared" si="15"/>
        <v>4.0428132593240429</v>
      </c>
      <c r="AI14" s="39">
        <f t="shared" si="24"/>
        <v>46.246315789473691</v>
      </c>
      <c r="AJ14" s="39">
        <f t="shared" si="17"/>
        <v>47.67661421595259</v>
      </c>
    </row>
    <row r="15" spans="1:36" x14ac:dyDescent="0.35">
      <c r="A15" s="12">
        <v>43167</v>
      </c>
      <c r="B15" s="13">
        <v>0.33333333333333331</v>
      </c>
      <c r="C15" s="18">
        <v>160</v>
      </c>
      <c r="D15" s="7">
        <v>1.1000000000000001</v>
      </c>
      <c r="E15" s="7">
        <v>1.26</v>
      </c>
      <c r="F15" s="9">
        <f t="shared" si="22"/>
        <v>1.1800000000000002</v>
      </c>
      <c r="G15" s="9">
        <v>325</v>
      </c>
      <c r="H15" s="9">
        <v>1462.9</v>
      </c>
      <c r="I15" s="9">
        <v>1467.8</v>
      </c>
      <c r="J15" s="9">
        <v>1483.8</v>
      </c>
      <c r="K15" s="9">
        <v>1488.8</v>
      </c>
      <c r="L15" s="9">
        <v>5</v>
      </c>
      <c r="M15" s="9">
        <f>(((I15-H15)/L15)+((K15-J15)/L15))/2</f>
        <v>0.98999999999998634</v>
      </c>
      <c r="N15" s="15">
        <f>IF(M15&gt;0,((M15*G15)/400),((((M14+#REF!)/2)*G15)/400))</f>
        <v>0.80437499999998896</v>
      </c>
      <c r="O15" s="15">
        <f t="shared" si="23"/>
        <v>0.8125</v>
      </c>
      <c r="P15" s="10">
        <v>0.28799999999999998</v>
      </c>
      <c r="Q15" s="10">
        <v>1.37</v>
      </c>
      <c r="R15" s="10">
        <v>3.2000000000000001E-2</v>
      </c>
      <c r="S15" s="10">
        <v>0.32100000000000001</v>
      </c>
      <c r="T15" s="10">
        <v>1.36</v>
      </c>
      <c r="U15" s="10">
        <v>3.5000000000000003E-2</v>
      </c>
      <c r="V15" s="10">
        <v>0.34599999999999997</v>
      </c>
      <c r="W15" s="10">
        <v>1.486</v>
      </c>
      <c r="X15" s="10">
        <v>2.7E-2</v>
      </c>
      <c r="Y15" s="36">
        <f t="shared" si="26"/>
        <v>4.7569444444444455</v>
      </c>
      <c r="Z15" s="36">
        <f>(Q15-R15)/(Summary!$P$55)*Summary!$P$57*(Summary!$P$58/Summary!$P$59)*10^3</f>
        <v>46.47789473684211</v>
      </c>
      <c r="AA15" s="11">
        <f>(Z15)/$M15</f>
        <v>46.947368421053284</v>
      </c>
      <c r="AB15" s="36">
        <f t="shared" si="27"/>
        <v>4.2367601246105924</v>
      </c>
      <c r="AC15" s="36">
        <f>(T15-U15)/(Summary!$P$55)*Summary!$P$57*(Summary!$P$58/Summary!$P$59)*10^3</f>
        <v>46.026315789473685</v>
      </c>
      <c r="AD15" s="11">
        <f>(AC15)/$M15</f>
        <v>46.491228070176078</v>
      </c>
      <c r="AE15" s="36">
        <f t="shared" si="28"/>
        <v>4.2947976878612719</v>
      </c>
      <c r="AF15" s="36">
        <f>(W15-X15)/(Summary!$P$55)*Summary!$P$57*(Summary!$P$58/Summary!$P$59)*10^3</f>
        <v>50.681052631578943</v>
      </c>
      <c r="AG15" s="11">
        <f>(AF15)/$M15</f>
        <v>51.192982456141053</v>
      </c>
      <c r="AH15" s="39">
        <f t="shared" si="15"/>
        <v>4.4295007523054366</v>
      </c>
      <c r="AI15" s="39">
        <f t="shared" si="24"/>
        <v>47.728421052631582</v>
      </c>
      <c r="AJ15" s="39">
        <f t="shared" si="17"/>
        <v>48.21052631579014</v>
      </c>
    </row>
    <row r="16" spans="1:36" s="16" customFormat="1" x14ac:dyDescent="0.35">
      <c r="A16" s="23"/>
      <c r="B16" s="24"/>
      <c r="C16" s="25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8"/>
      <c r="O16" s="28"/>
    </row>
    <row r="17" spans="1:36" x14ac:dyDescent="0.35">
      <c r="A17" s="12">
        <v>43182</v>
      </c>
      <c r="B17" s="13">
        <v>0.3125</v>
      </c>
      <c r="C17" s="18">
        <v>300</v>
      </c>
      <c r="D17" s="29">
        <v>1.5275000000000001</v>
      </c>
      <c r="E17" s="29">
        <v>1.5475000000000001</v>
      </c>
      <c r="F17" s="9">
        <f t="shared" si="22"/>
        <v>1.5375000000000001</v>
      </c>
      <c r="G17" s="9">
        <v>350.5</v>
      </c>
      <c r="H17" s="9"/>
      <c r="I17" s="9"/>
      <c r="J17" s="9"/>
      <c r="K17" s="9"/>
      <c r="L17" s="9">
        <v>5</v>
      </c>
      <c r="M17" s="9"/>
      <c r="N17" s="15">
        <f>IF(M17&gt;0,((M17*G17)/400),((((M20+M18)/2)*G17)/400))</f>
        <v>0.86091562499999397</v>
      </c>
      <c r="O17" s="15">
        <f t="shared" si="23"/>
        <v>0.87624999999999997</v>
      </c>
      <c r="P17" s="10">
        <v>0.24</v>
      </c>
      <c r="Q17" s="10">
        <v>1.1830000000000001</v>
      </c>
      <c r="R17" s="10">
        <v>0.01</v>
      </c>
      <c r="S17" s="10">
        <v>0.30499999999999999</v>
      </c>
      <c r="T17" s="10">
        <v>1.1240000000000001</v>
      </c>
      <c r="U17" s="10">
        <v>1.6E-2</v>
      </c>
      <c r="V17" s="10">
        <v>0.26</v>
      </c>
      <c r="W17" s="10">
        <v>1.1140000000000001</v>
      </c>
      <c r="X17" s="10">
        <v>1.0999999999999999E-2</v>
      </c>
      <c r="Y17" s="36">
        <f>Q17/P17</f>
        <v>4.9291666666666671</v>
      </c>
      <c r="Z17" s="36">
        <f>(Q17-R17)/(Summary!$P$55)*Summary!$P$57*(Summary!$P$58/Summary!$P$59)*10^3</f>
        <v>40.746315789473684</v>
      </c>
      <c r="AA17" s="11">
        <f>(Z17)/(AVERAGE($M17:$M22))</f>
        <v>40.678518259042008</v>
      </c>
      <c r="AB17" s="36">
        <f>T17/S17</f>
        <v>3.6852459016393446</v>
      </c>
      <c r="AC17" s="36">
        <f>(T17-U17)/(Summary!$P$55)*Summary!$P$57*(Summary!$P$58/Summary!$P$59)*10^3</f>
        <v>38.48842105263158</v>
      </c>
      <c r="AD17" s="11">
        <f>(AC17)/(AVERAGE($M17:$M22))</f>
        <v>38.424380418600634</v>
      </c>
      <c r="AE17" s="36">
        <f>W17/V17</f>
        <v>4.2846153846153845</v>
      </c>
      <c r="AF17" s="36">
        <f>(W17-X17)/(Summary!$P$55)*Summary!$P$57*(Summary!$P$58/Summary!$P$59)*10^3</f>
        <v>38.314736842105269</v>
      </c>
      <c r="AG17" s="11">
        <f>(AF17)/(AVERAGE($M17:$M22))</f>
        <v>38.250985200105148</v>
      </c>
      <c r="AH17" s="39">
        <f t="shared" ref="AH17:AH22" si="29">AVERAGE(Y17,AB17,AE17)</f>
        <v>4.2996759843071324</v>
      </c>
      <c r="AI17" s="39">
        <f t="shared" ref="AI17:AJ22" si="30">AVERAGE(Z17,AC17,AF17)</f>
        <v>39.183157894736844</v>
      </c>
      <c r="AJ17" s="39">
        <f t="shared" si="30"/>
        <v>39.117961292582599</v>
      </c>
    </row>
    <row r="18" spans="1:36" x14ac:dyDescent="0.35">
      <c r="A18" s="12">
        <v>43183</v>
      </c>
      <c r="B18" s="13">
        <v>0.3125</v>
      </c>
      <c r="C18" s="18">
        <v>300</v>
      </c>
      <c r="D18" s="29">
        <v>1.526</v>
      </c>
      <c r="E18" s="29">
        <v>1.528</v>
      </c>
      <c r="F18" s="9">
        <f t="shared" si="22"/>
        <v>1.5270000000000001</v>
      </c>
      <c r="G18" s="9">
        <v>332</v>
      </c>
      <c r="H18" s="9">
        <v>1453.93</v>
      </c>
      <c r="I18" s="9">
        <v>1459.7</v>
      </c>
      <c r="J18" s="9">
        <v>1474.82</v>
      </c>
      <c r="K18" s="9">
        <v>1479.1</v>
      </c>
      <c r="L18" s="9">
        <v>5</v>
      </c>
      <c r="M18" s="9">
        <f t="shared" ref="M18:M22" si="31">(((I18-H18)/L18)+((K18-J18)/L18))/2</f>
        <v>1.0049999999999955</v>
      </c>
      <c r="N18" s="15">
        <f t="shared" ref="N18:N21" si="32">IF(M18&gt;0,((M18*G18)/400),((((M17+M19)/2)*G18)/400))</f>
        <v>0.83414999999999617</v>
      </c>
      <c r="O18" s="15">
        <f t="shared" si="23"/>
        <v>0.83</v>
      </c>
      <c r="P18" s="10">
        <v>0.54700000000000004</v>
      </c>
      <c r="Q18" s="10">
        <v>1.3640000000000001</v>
      </c>
      <c r="R18" s="10">
        <v>6.8000000000000005E-2</v>
      </c>
      <c r="S18" s="10">
        <v>0.44600000000000001</v>
      </c>
      <c r="T18" s="10">
        <v>1.236</v>
      </c>
      <c r="U18" s="10">
        <v>2.1000000000000001E-2</v>
      </c>
      <c r="V18" s="10">
        <v>0.50900000000000001</v>
      </c>
      <c r="W18" s="10">
        <v>1.306</v>
      </c>
      <c r="X18" s="10">
        <v>4.9000000000000002E-2</v>
      </c>
      <c r="Y18" s="36">
        <f t="shared" ref="Y18:Y19" si="33">Q18/P18</f>
        <v>2.493601462522852</v>
      </c>
      <c r="Z18" s="36">
        <f>(Q18-R18)/(Summary!$P$55)*Summary!$P$57*(Summary!$P$58/Summary!$P$59)*10^3</f>
        <v>45.018947368421053</v>
      </c>
      <c r="AA18" s="11">
        <f>(Z18)/(AVERAGE($M17:$M22))</f>
        <v>44.944040634031069</v>
      </c>
      <c r="AB18" s="36">
        <f t="shared" ref="AB18:AB19" si="34">T18/S18</f>
        <v>2.7713004484304933</v>
      </c>
      <c r="AC18" s="36">
        <f>(T18-U18)/(Summary!$P$55)*Summary!$P$57*(Summary!$P$58/Summary!$P$59)*10^3</f>
        <v>42.205263157894741</v>
      </c>
      <c r="AD18" s="11">
        <f>(AC18)/(AVERAGE($M17:$M22))</f>
        <v>42.135038094404131</v>
      </c>
      <c r="AE18" s="36">
        <f t="shared" ref="AE18:AE19" si="35">W18/V18</f>
        <v>2.5658153241650297</v>
      </c>
      <c r="AF18" s="36">
        <f>(W18-X18)/(Summary!$P$55)*Summary!$P$57*(Summary!$P$58/Summary!$P$59)*10^3</f>
        <v>43.664210526315792</v>
      </c>
      <c r="AG18" s="11">
        <f>(AF18)/(AVERAGE($M17:$M22))</f>
        <v>43.591557929766246</v>
      </c>
      <c r="AH18" s="39">
        <f t="shared" si="29"/>
        <v>2.6102390783727913</v>
      </c>
      <c r="AI18" s="39">
        <f t="shared" si="30"/>
        <v>43.629473684210531</v>
      </c>
      <c r="AJ18" s="39">
        <f t="shared" si="30"/>
        <v>43.556878886067153</v>
      </c>
    </row>
    <row r="19" spans="1:36" x14ac:dyDescent="0.35">
      <c r="A19" s="12">
        <v>43184</v>
      </c>
      <c r="B19" s="13">
        <v>0.3125</v>
      </c>
      <c r="C19" s="18">
        <v>300</v>
      </c>
      <c r="D19" s="29">
        <v>1.52</v>
      </c>
      <c r="E19" s="29">
        <v>1.56</v>
      </c>
      <c r="F19" s="9">
        <f t="shared" si="22"/>
        <v>1.54</v>
      </c>
      <c r="G19" s="9">
        <v>343.5</v>
      </c>
      <c r="H19" s="9"/>
      <c r="I19" s="9"/>
      <c r="J19" s="9"/>
      <c r="K19" s="9"/>
      <c r="L19" s="9">
        <v>5</v>
      </c>
      <c r="M19" s="9"/>
      <c r="N19" s="15">
        <f t="shared" si="32"/>
        <v>0.84372187499999418</v>
      </c>
      <c r="O19" s="15">
        <f t="shared" si="23"/>
        <v>0.85875000000000001</v>
      </c>
      <c r="P19" s="10">
        <v>0.36499999999999999</v>
      </c>
      <c r="Q19" s="10">
        <v>1.1819999999999999</v>
      </c>
      <c r="R19" s="10">
        <v>5.0000000000000001E-3</v>
      </c>
      <c r="S19" s="10">
        <v>0.375</v>
      </c>
      <c r="T19" s="10">
        <v>1.1559999999999999</v>
      </c>
      <c r="U19" s="10">
        <v>7.0000000000000001E-3</v>
      </c>
      <c r="V19" s="10">
        <v>0.33200000000000002</v>
      </c>
      <c r="W19" s="10">
        <v>1.2</v>
      </c>
      <c r="X19" s="10">
        <v>2E-3</v>
      </c>
      <c r="Y19" s="36">
        <f t="shared" si="33"/>
        <v>3.2383561643835614</v>
      </c>
      <c r="Z19" s="36">
        <f>(Q19-R19)/(Summary!$P$55)*Summary!$P$57*(Summary!$P$58/Summary!$P$59)*10^3</f>
        <v>40.885263157894734</v>
      </c>
      <c r="AA19" s="11">
        <f>(Z19)/(AVERAGE($M17:$M22))</f>
        <v>40.817234433838401</v>
      </c>
      <c r="AB19" s="36">
        <f t="shared" si="34"/>
        <v>3.0826666666666664</v>
      </c>
      <c r="AC19" s="36">
        <f>(T19-U19)/(Summary!$P$55)*Summary!$P$57*(Summary!$P$58/Summary!$P$59)*10^3</f>
        <v>39.912631578947369</v>
      </c>
      <c r="AD19" s="11">
        <f>(AC19)/(AVERAGE($M18:$M22))</f>
        <v>39.846221210263657</v>
      </c>
      <c r="AE19" s="36">
        <f t="shared" si="35"/>
        <v>3.6144578313253009</v>
      </c>
      <c r="AF19" s="36">
        <f>(W19-X19)/(Summary!$P$55)*Summary!$P$57*(Summary!$P$58/Summary!$P$59)*10^3</f>
        <v>41.614736842105259</v>
      </c>
      <c r="AG19" s="11">
        <f>(AF19)/(AVERAGE($M18:$M22))</f>
        <v>41.545494351519459</v>
      </c>
      <c r="AH19" s="39">
        <f t="shared" si="29"/>
        <v>3.3118268874585097</v>
      </c>
      <c r="AI19" s="39">
        <f t="shared" si="30"/>
        <v>40.804210526315785</v>
      </c>
      <c r="AJ19" s="39">
        <f t="shared" si="30"/>
        <v>40.73631666520717</v>
      </c>
    </row>
    <row r="20" spans="1:36" x14ac:dyDescent="0.35">
      <c r="A20" s="12">
        <v>43185</v>
      </c>
      <c r="B20" s="13">
        <v>0.35416666666666669</v>
      </c>
      <c r="C20" s="18">
        <v>300</v>
      </c>
      <c r="D20" s="29">
        <v>1.532</v>
      </c>
      <c r="E20" s="29">
        <v>1.518</v>
      </c>
      <c r="F20" s="9">
        <f t="shared" si="22"/>
        <v>1.5249999999999999</v>
      </c>
      <c r="G20" s="9">
        <v>338.5</v>
      </c>
      <c r="H20" s="9">
        <v>1468.7</v>
      </c>
      <c r="I20" s="9">
        <v>1474</v>
      </c>
      <c r="J20" s="9">
        <v>1487.3</v>
      </c>
      <c r="K20" s="9">
        <v>1491.6</v>
      </c>
      <c r="L20" s="9">
        <v>5</v>
      </c>
      <c r="M20" s="9">
        <f t="shared" si="31"/>
        <v>0.95999999999999086</v>
      </c>
      <c r="N20" s="15">
        <f t="shared" si="32"/>
        <v>0.81239999999999224</v>
      </c>
      <c r="O20" s="15">
        <f t="shared" si="23"/>
        <v>0.84624999999999995</v>
      </c>
      <c r="P20" s="10">
        <v>0.36799999999999999</v>
      </c>
      <c r="Q20" s="10">
        <v>1.1000000000000001</v>
      </c>
      <c r="R20" s="10">
        <v>1.7000000000000001E-2</v>
      </c>
      <c r="S20" s="10">
        <v>0.373</v>
      </c>
      <c r="T20" s="10">
        <v>1.08</v>
      </c>
      <c r="U20" s="10">
        <v>1.4E-2</v>
      </c>
      <c r="V20" s="10">
        <v>0.39900000000000002</v>
      </c>
      <c r="W20" s="10">
        <v>1.1140000000000001</v>
      </c>
      <c r="X20" s="10">
        <v>2.5999999999999999E-2</v>
      </c>
      <c r="Y20" s="36">
        <f>Q20/P20</f>
        <v>2.9891304347826089</v>
      </c>
      <c r="Z20" s="36">
        <f>(Q20-R20)/(Summary!$P$55)*Summary!$P$57*(Summary!$P$58/Summary!$P$59)*10^3</f>
        <v>37.619999999999997</v>
      </c>
      <c r="AA20" s="11">
        <f>(Z20)/(AVERAGE($M17:$M22))</f>
        <v>37.557404326123184</v>
      </c>
      <c r="AB20" s="36">
        <f>T20/S20</f>
        <v>2.8954423592493299</v>
      </c>
      <c r="AC20" s="36">
        <f>(T20-U20)/(Summary!$P$55)*Summary!$P$57*(Summary!$P$58/Summary!$P$59)*10^3</f>
        <v>37.029473684210529</v>
      </c>
      <c r="AD20" s="11">
        <f>(AC20)/(AVERAGE($M17:$M22))</f>
        <v>36.967860583238519</v>
      </c>
      <c r="AE20" s="36">
        <f>W20/V20</f>
        <v>2.7919799498746869</v>
      </c>
      <c r="AF20" s="36">
        <f>(W20-X20)/(Summary!$P$55)*Summary!$P$57*(Summary!$P$58/Summary!$P$59)*10^3</f>
        <v>37.793684210526322</v>
      </c>
      <c r="AG20" s="11">
        <f>(AF20)/(AVERAGE($M17:$M22))</f>
        <v>37.730799544618684</v>
      </c>
      <c r="AH20" s="39">
        <f t="shared" si="29"/>
        <v>2.8921842479688755</v>
      </c>
      <c r="AI20" s="39">
        <f t="shared" si="30"/>
        <v>37.481052631578955</v>
      </c>
      <c r="AJ20" s="39">
        <f t="shared" si="30"/>
        <v>37.418688151326798</v>
      </c>
    </row>
    <row r="21" spans="1:36" x14ac:dyDescent="0.35">
      <c r="A21" s="12">
        <v>43186</v>
      </c>
      <c r="B21" s="13">
        <v>0.375</v>
      </c>
      <c r="C21" s="18">
        <v>300</v>
      </c>
      <c r="D21" s="29">
        <v>1.5960000000000001</v>
      </c>
      <c r="E21" s="29">
        <v>1.556</v>
      </c>
      <c r="F21" s="9">
        <f t="shared" si="22"/>
        <v>1.5760000000000001</v>
      </c>
      <c r="G21" s="9">
        <v>338.6</v>
      </c>
      <c r="H21" s="9"/>
      <c r="I21" s="9"/>
      <c r="J21" s="9"/>
      <c r="K21" s="9"/>
      <c r="L21" s="9">
        <v>5</v>
      </c>
      <c r="M21" s="9"/>
      <c r="N21" s="15">
        <f t="shared" si="32"/>
        <v>0.84649999999999992</v>
      </c>
      <c r="O21" s="15">
        <f t="shared" si="23"/>
        <v>0.84650000000000003</v>
      </c>
      <c r="P21" s="10">
        <v>0.35399999999999998</v>
      </c>
      <c r="Q21" s="10">
        <v>1.2</v>
      </c>
      <c r="R21" s="10">
        <v>0.02</v>
      </c>
      <c r="S21" s="10">
        <v>0.36699999999999999</v>
      </c>
      <c r="T21" s="10">
        <v>1.1559999999999999</v>
      </c>
      <c r="U21" s="10">
        <v>2.3E-2</v>
      </c>
      <c r="V21" s="10">
        <v>0.30599999999999999</v>
      </c>
      <c r="W21" s="10">
        <v>1.198</v>
      </c>
      <c r="X21" s="10">
        <v>1.2E-2</v>
      </c>
      <c r="Y21" s="36">
        <f t="shared" ref="Y21:Y22" si="36">Q21/P21</f>
        <v>3.3898305084745761</v>
      </c>
      <c r="Z21" s="36">
        <f>(Q21-R21)/(Summary!$P$55)*Summary!$P$57*(Summary!$P$58/Summary!$P$59)*10^3</f>
        <v>40.989473684210523</v>
      </c>
      <c r="AA21" s="11">
        <f>(Z21)/(AVERAGE($M17:$M22))</f>
        <v>40.921271564935694</v>
      </c>
      <c r="AB21" s="36">
        <f t="shared" ref="AB21:AB22" si="37">T21/S21</f>
        <v>3.1498637602179835</v>
      </c>
      <c r="AC21" s="36">
        <f>(T21-U21)/(Summary!$P$55)*Summary!$P$57*(Summary!$P$58/Summary!$P$59)*10^3</f>
        <v>39.356842105263162</v>
      </c>
      <c r="AD21" s="11">
        <f>(AC21)/(AVERAGE($M17:$M22))</f>
        <v>39.291356511078092</v>
      </c>
      <c r="AE21" s="36">
        <f t="shared" ref="AE21:AE22" si="38">W21/V21</f>
        <v>3.9150326797385619</v>
      </c>
      <c r="AF21" s="36">
        <f>(W21-X21)/(Summary!$P$55)*Summary!$P$57*(Summary!$P$58/Summary!$P$59)*10^3</f>
        <v>41.197894736842102</v>
      </c>
      <c r="AG21" s="11">
        <f>(AF21)/(AVERAGE($M17:$M22))</f>
        <v>41.12934582713028</v>
      </c>
      <c r="AH21" s="39">
        <f t="shared" si="29"/>
        <v>3.4849089828103739</v>
      </c>
      <c r="AI21" s="39">
        <f t="shared" si="30"/>
        <v>40.514736842105265</v>
      </c>
      <c r="AJ21" s="39">
        <f t="shared" si="30"/>
        <v>40.447324634381353</v>
      </c>
    </row>
    <row r="22" spans="1:36" x14ac:dyDescent="0.35">
      <c r="A22" s="12">
        <v>43187</v>
      </c>
      <c r="B22" s="13">
        <v>0.33333333333333331</v>
      </c>
      <c r="C22" s="18">
        <v>300</v>
      </c>
      <c r="D22" s="29">
        <v>1.59</v>
      </c>
      <c r="E22" s="29">
        <v>1.554</v>
      </c>
      <c r="F22" s="9">
        <f t="shared" si="22"/>
        <v>1.5720000000000001</v>
      </c>
      <c r="G22" s="9">
        <v>340</v>
      </c>
      <c r="H22" s="9">
        <v>1481.5</v>
      </c>
      <c r="I22" s="9">
        <v>1486.3</v>
      </c>
      <c r="J22" s="9">
        <v>1473.8</v>
      </c>
      <c r="K22" s="9">
        <v>1479.4</v>
      </c>
      <c r="L22" s="9">
        <v>5</v>
      </c>
      <c r="M22" s="9">
        <f t="shared" si="31"/>
        <v>1.0400000000000089</v>
      </c>
      <c r="N22" s="15">
        <f>IF(M22&gt;0,((M22*G22)/400),((((M21+#REF!)/2)*G22)/400))</f>
        <v>0.88400000000000756</v>
      </c>
      <c r="O22" s="15">
        <f t="shared" si="23"/>
        <v>0.85</v>
      </c>
      <c r="P22" s="10">
        <v>0.29899999999999999</v>
      </c>
      <c r="Q22" s="10">
        <v>1.18</v>
      </c>
      <c r="R22" s="10">
        <v>1.4E-2</v>
      </c>
      <c r="S22" s="10">
        <v>0.373</v>
      </c>
      <c r="T22" s="10">
        <v>1.2</v>
      </c>
      <c r="U22" s="10">
        <v>8.0000000000000002E-3</v>
      </c>
      <c r="V22" s="10">
        <v>0.34399999999999997</v>
      </c>
      <c r="W22" s="10">
        <v>1.256</v>
      </c>
      <c r="X22" s="10">
        <v>8.0000000000000002E-3</v>
      </c>
      <c r="Y22" s="36">
        <f t="shared" si="36"/>
        <v>3.9464882943143813</v>
      </c>
      <c r="Z22" s="36">
        <f>(Q22-R22)/(Summary!$P$55)*Summary!$P$57*(Summary!$P$58/Summary!$P$59)*10^3</f>
        <v>40.503157894736837</v>
      </c>
      <c r="AA22" s="11">
        <f>(Z22)/(AVERAGE($M17:$M22))</f>
        <v>40.435764953148315</v>
      </c>
      <c r="AB22" s="36">
        <f t="shared" si="37"/>
        <v>3.2171581769436997</v>
      </c>
      <c r="AC22" s="36">
        <f>(T22-U22)/(Summary!$P$55)*Summary!$P$57*(Summary!$P$58/Summary!$P$59)*10^3</f>
        <v>41.406315789473688</v>
      </c>
      <c r="AD22" s="11">
        <f>(AC22)/(AVERAGE($M17:$M22))</f>
        <v>41.337420089324873</v>
      </c>
      <c r="AE22" s="36">
        <f t="shared" si="38"/>
        <v>3.6511627906976747</v>
      </c>
      <c r="AF22" s="36">
        <f>(W22-X22)/(Summary!$P$55)*Summary!$P$57*(Summary!$P$58/Summary!$P$59)*10^3</f>
        <v>43.351578947368417</v>
      </c>
      <c r="AG22" s="11">
        <f>(AF22)/(AVERAGE($M17:$M22))</f>
        <v>43.27944653647436</v>
      </c>
      <c r="AH22" s="39">
        <f t="shared" si="29"/>
        <v>3.6049364206519185</v>
      </c>
      <c r="AI22" s="39">
        <f t="shared" si="30"/>
        <v>41.753684210526309</v>
      </c>
      <c r="AJ22" s="39">
        <f t="shared" si="30"/>
        <v>41.684210526315844</v>
      </c>
    </row>
    <row r="23" spans="1:36" s="16" customFormat="1" x14ac:dyDescent="0.35">
      <c r="C23" s="17"/>
    </row>
    <row r="24" spans="1:36" s="8" customFormat="1" x14ac:dyDescent="0.35">
      <c r="A24" s="12">
        <v>43173</v>
      </c>
      <c r="B24" s="13">
        <v>0.3125</v>
      </c>
      <c r="C24" s="18">
        <v>700</v>
      </c>
      <c r="D24" s="7">
        <v>1.544</v>
      </c>
      <c r="E24" s="7">
        <v>1.6339999999999999</v>
      </c>
      <c r="F24" s="9">
        <f t="shared" si="22"/>
        <v>1.589</v>
      </c>
      <c r="G24" s="9">
        <v>315.5</v>
      </c>
      <c r="H24" s="9">
        <v>1461.7</v>
      </c>
      <c r="I24" s="9">
        <v>1468.9</v>
      </c>
      <c r="J24" s="9">
        <v>1483.2</v>
      </c>
      <c r="K24" s="9">
        <v>1486.1</v>
      </c>
      <c r="L24" s="9">
        <v>5</v>
      </c>
      <c r="M24" s="9">
        <f>(((I24-H24)/L24)+((K24-J24)/L24))/2</f>
        <v>1.0099999999999909</v>
      </c>
      <c r="N24" s="15">
        <f>IF(M24&gt;0,((M24*G24)/400),((((#REF!+M25)/2)*G24)/400))</f>
        <v>0.79663749999999278</v>
      </c>
      <c r="O24" s="15">
        <f t="shared" si="23"/>
        <v>0.78874999999999995</v>
      </c>
      <c r="P24" s="10">
        <v>0.35599999999999998</v>
      </c>
      <c r="Q24" s="10">
        <v>0.81899999999999995</v>
      </c>
      <c r="R24" s="10">
        <v>1.4999999999999999E-2</v>
      </c>
      <c r="S24" s="10">
        <f>AVERAGE(S25:S26)</f>
        <v>0.316</v>
      </c>
      <c r="T24" s="10">
        <v>0.80900000000000005</v>
      </c>
      <c r="U24" s="10">
        <v>2.4E-2</v>
      </c>
      <c r="V24" s="10">
        <v>0.439</v>
      </c>
      <c r="W24" s="10">
        <v>0.85199999999999998</v>
      </c>
      <c r="X24" s="10">
        <v>4.0000000000000001E-3</v>
      </c>
      <c r="Y24" s="40">
        <f>Q24/P24</f>
        <v>2.3005617977528088</v>
      </c>
      <c r="Z24" s="40">
        <f>(Q24-R24)/(Summary!$P$55)*Summary!$P$57*(Summary!$P$58/Summary!$P$59)*10^3</f>
        <v>27.928421052631577</v>
      </c>
      <c r="AA24" s="15">
        <f>(Z24)/$M24</f>
        <v>27.65190203230874</v>
      </c>
      <c r="AB24" s="40">
        <f>T24/S24</f>
        <v>2.5601265822784813</v>
      </c>
      <c r="AC24" s="40">
        <f>(T24-U24)/(Summary!$P$55)*Summary!$P$57*(Summary!$P$58/Summary!$P$59)*10^3</f>
        <v>27.268421052631581</v>
      </c>
      <c r="AD24" s="15">
        <f>(AC24)/$M24</f>
        <v>26.998436685774085</v>
      </c>
      <c r="AE24" s="40">
        <f>W24/V24</f>
        <v>1.940774487471526</v>
      </c>
      <c r="AF24" s="40">
        <f>(W24-X24)/(Summary!$P$55)*Summary!$P$57*(Summary!$P$58/Summary!$P$59)*10^3</f>
        <v>29.456842105263156</v>
      </c>
      <c r="AG24" s="15">
        <f>(AF24)/$M24</f>
        <v>29.165190203231109</v>
      </c>
      <c r="AH24" s="41">
        <f t="shared" ref="AH24:AH29" si="39">AVERAGE(Y24,AB24,AE24)</f>
        <v>2.2671542891676051</v>
      </c>
      <c r="AI24" s="41">
        <f t="shared" ref="AI24:AI26" si="40">AVERAGE(Z24,AC24,AF24)</f>
        <v>28.217894736842101</v>
      </c>
      <c r="AJ24" s="41">
        <f t="shared" ref="AJ24:AJ29" si="41">AVERAGE(AA24,AD24,AG24)</f>
        <v>27.938509640437974</v>
      </c>
    </row>
    <row r="25" spans="1:36" s="8" customFormat="1" x14ac:dyDescent="0.35">
      <c r="A25" s="12">
        <v>43174</v>
      </c>
      <c r="B25" s="13">
        <v>0.3125</v>
      </c>
      <c r="C25" s="18">
        <v>700</v>
      </c>
      <c r="D25" s="7">
        <v>1.484</v>
      </c>
      <c r="E25" s="7">
        <v>1.51</v>
      </c>
      <c r="F25" s="9">
        <f t="shared" si="22"/>
        <v>1.4969999999999999</v>
      </c>
      <c r="G25" s="9">
        <v>318</v>
      </c>
      <c r="H25" s="9"/>
      <c r="I25" s="9"/>
      <c r="J25" s="9"/>
      <c r="K25" s="9"/>
      <c r="L25" s="9">
        <v>5</v>
      </c>
      <c r="M25" s="9"/>
      <c r="N25" s="15">
        <f t="shared" ref="N25" si="42">IF(M25&gt;0,((M25*G25)/400),((((M24+M26)/2)*G25)/400))</f>
        <v>0.79102499999999465</v>
      </c>
      <c r="O25" s="15">
        <f t="shared" si="23"/>
        <v>0.79500000000000004</v>
      </c>
      <c r="P25" s="10">
        <v>0.38300000000000001</v>
      </c>
      <c r="Q25" s="10">
        <v>0.78900000000000003</v>
      </c>
      <c r="R25" s="10">
        <v>5.0000000000000001E-3</v>
      </c>
      <c r="S25" s="10">
        <v>0.314</v>
      </c>
      <c r="T25" s="10">
        <v>0.81</v>
      </c>
      <c r="U25" s="10">
        <v>8.9999999999999993E-3</v>
      </c>
      <c r="V25" s="10">
        <v>0.35599999999999998</v>
      </c>
      <c r="W25" s="10">
        <v>0.83399999999999996</v>
      </c>
      <c r="X25" s="10">
        <v>1.0999999999999999E-2</v>
      </c>
      <c r="Y25" s="40">
        <f t="shared" ref="Y25:Y26" si="43">Q25/P25</f>
        <v>2.060052219321149</v>
      </c>
      <c r="Z25" s="40">
        <f>(Q25-R25)/(Summary!$P$55)*Summary!$P$57*(Summary!$P$58/Summary!$P$59)*10^3</f>
        <v>27.23368421052632</v>
      </c>
      <c r="AA25" s="15">
        <f>(Z25)/(AVERAGE($M24:$M26))</f>
        <v>27.370536895001514</v>
      </c>
      <c r="AB25" s="40">
        <f t="shared" ref="AB25:AB26" si="44">T25/S25</f>
        <v>2.5796178343949046</v>
      </c>
      <c r="AC25" s="40">
        <f>(T25-U25)/(Summary!$P$55)*Summary!$P$57*(Summary!$P$58/Summary!$P$59)*10^3</f>
        <v>27.824210526315792</v>
      </c>
      <c r="AD25" s="15">
        <f>(AC25)/(AVERAGE($M24:$M26))</f>
        <v>27.964030679714554</v>
      </c>
      <c r="AE25" s="40">
        <f t="shared" ref="AE25:AE26" si="45">W25/V25</f>
        <v>2.3426966292134832</v>
      </c>
      <c r="AF25" s="40">
        <f>(W25-X25)/(Summary!$P$55)*Summary!$P$57*(Summary!$P$58/Summary!$P$59)*10^3</f>
        <v>28.588421052631578</v>
      </c>
      <c r="AG25" s="15">
        <f>(AF25)/(AVERAGE($M24:$M26))</f>
        <v>28.732081459931429</v>
      </c>
      <c r="AH25" s="41">
        <f t="shared" si="39"/>
        <v>2.3274555609765124</v>
      </c>
      <c r="AI25" s="41">
        <f t="shared" si="40"/>
        <v>27.882105263157897</v>
      </c>
      <c r="AJ25" s="41">
        <f t="shared" si="41"/>
        <v>28.022216344882498</v>
      </c>
    </row>
    <row r="26" spans="1:36" s="8" customFormat="1" x14ac:dyDescent="0.35">
      <c r="A26" s="12">
        <v>43175</v>
      </c>
      <c r="B26" s="13">
        <v>0.3125</v>
      </c>
      <c r="C26" s="18">
        <v>700</v>
      </c>
      <c r="D26" s="7">
        <v>1.49</v>
      </c>
      <c r="E26" s="7">
        <v>1.506</v>
      </c>
      <c r="F26" s="9">
        <f t="shared" si="22"/>
        <v>1.498</v>
      </c>
      <c r="G26" s="9">
        <v>316.5</v>
      </c>
      <c r="H26" s="9">
        <v>1472.5</v>
      </c>
      <c r="I26" s="9">
        <v>1477</v>
      </c>
      <c r="J26" s="9">
        <v>1465.2</v>
      </c>
      <c r="K26" s="9">
        <v>1470.5</v>
      </c>
      <c r="L26" s="9">
        <v>5</v>
      </c>
      <c r="M26" s="9">
        <f t="shared" ref="M26" si="46">(((I26-H26)/L26)+((K26-J26)/L26))/2</f>
        <v>0.97999999999999554</v>
      </c>
      <c r="N26" s="15">
        <f>IF(M26&gt;0,((M26*G26)/400),((((M25+#REF!)/2)*G26)/400))</f>
        <v>0.77542499999999648</v>
      </c>
      <c r="O26" s="15">
        <f t="shared" si="23"/>
        <v>0.79125000000000001</v>
      </c>
      <c r="P26" s="10">
        <v>0.34599999999999997</v>
      </c>
      <c r="Q26" s="10">
        <v>0.78800000000000003</v>
      </c>
      <c r="R26" s="10">
        <v>1.2E-2</v>
      </c>
      <c r="S26" s="10">
        <v>0.318</v>
      </c>
      <c r="T26" s="10">
        <v>0.73399999999999999</v>
      </c>
      <c r="U26" s="10">
        <v>1.0999999999999999E-2</v>
      </c>
      <c r="V26" s="10">
        <v>0.35599999999999998</v>
      </c>
      <c r="W26" s="10">
        <v>0.8</v>
      </c>
      <c r="X26" s="10">
        <v>1.0999999999999999E-2</v>
      </c>
      <c r="Y26" s="40">
        <f t="shared" si="43"/>
        <v>2.2774566473988442</v>
      </c>
      <c r="Z26" s="40">
        <f>(Q26-R26)/(Summary!$P$55)*Summary!$P$57*(Summary!$P$58/Summary!$P$59)*10^3</f>
        <v>26.955789473684209</v>
      </c>
      <c r="AA26" s="15">
        <f>(Z26)/$M26</f>
        <v>27.505907626208501</v>
      </c>
      <c r="AB26" s="40">
        <f t="shared" si="44"/>
        <v>2.3081761006289305</v>
      </c>
      <c r="AC26" s="40">
        <f>(T26-U26)/(Summary!$P$55)*Summary!$P$57*(Summary!$P$58/Summary!$P$59)*10^3</f>
        <v>25.114736842105263</v>
      </c>
      <c r="AD26" s="15">
        <f>(AC26)/$M26</f>
        <v>25.627282491944261</v>
      </c>
      <c r="AE26" s="40">
        <f t="shared" si="45"/>
        <v>2.2471910112359552</v>
      </c>
      <c r="AF26" s="40">
        <f>(W26-X26)/(Summary!$P$55)*Summary!$P$57*(Summary!$P$58/Summary!$P$59)*10^3</f>
        <v>27.407368421052634</v>
      </c>
      <c r="AG26" s="15">
        <f>(AF26)/$M26</f>
        <v>27.966702470462</v>
      </c>
      <c r="AH26" s="41">
        <f t="shared" si="39"/>
        <v>2.2776079197545767</v>
      </c>
      <c r="AI26" s="41">
        <f t="shared" si="40"/>
        <v>26.492631578947368</v>
      </c>
      <c r="AJ26" s="41">
        <f t="shared" si="41"/>
        <v>27.033297529538256</v>
      </c>
    </row>
    <row r="27" spans="1:36" s="8" customFormat="1" x14ac:dyDescent="0.35">
      <c r="A27" s="12">
        <v>43173</v>
      </c>
      <c r="B27" s="13">
        <v>0.3125</v>
      </c>
      <c r="C27" s="18">
        <v>700</v>
      </c>
      <c r="D27" s="7">
        <v>1.556</v>
      </c>
      <c r="E27" s="7">
        <v>1.6379999999999999</v>
      </c>
      <c r="F27" s="9">
        <f t="shared" si="22"/>
        <v>1.597</v>
      </c>
      <c r="G27" s="9">
        <v>311</v>
      </c>
      <c r="H27" s="9">
        <v>1487.8</v>
      </c>
      <c r="I27" s="9">
        <v>1493.6</v>
      </c>
      <c r="J27" s="9">
        <v>1477.7</v>
      </c>
      <c r="K27" s="9">
        <v>1482.5</v>
      </c>
      <c r="L27" s="9">
        <v>5</v>
      </c>
      <c r="M27" s="9">
        <f>(((I27-H27)/L27)+((K27-J27)/L27))/2</f>
        <v>1.0599999999999907</v>
      </c>
      <c r="N27" s="15">
        <f>IF(M27&gt;0,((M27*G27)/400),((((#REF!+M28)/2)*G27)/400))</f>
        <v>0.82414999999999283</v>
      </c>
      <c r="O27" s="15">
        <f t="shared" ref="O27:O29" si="47">G27/400</f>
        <v>0.77749999999999997</v>
      </c>
      <c r="P27" s="10">
        <v>0.34</v>
      </c>
      <c r="Q27" s="10">
        <v>0.78</v>
      </c>
      <c r="R27" s="10"/>
      <c r="S27" s="10">
        <v>0.33800000000000002</v>
      </c>
      <c r="T27" s="10">
        <v>0.78</v>
      </c>
      <c r="U27" s="10"/>
      <c r="V27" s="10">
        <v>0.35599999999999998</v>
      </c>
      <c r="W27" s="10">
        <v>0.81</v>
      </c>
      <c r="X27" s="10"/>
      <c r="Y27" s="40">
        <f>Q27/P27</f>
        <v>2.2941176470588234</v>
      </c>
      <c r="Z27" s="40">
        <f>(Q27-R27)/(Summary!$P$55)*Summary!$P$57*(Summary!$P$58/Summary!$P$59)*10^3</f>
        <v>27.094736842105267</v>
      </c>
      <c r="AA27" s="15">
        <f>(Z27)/$M27</f>
        <v>25.561072492552363</v>
      </c>
      <c r="AB27" s="40">
        <f>T27/S27</f>
        <v>2.3076923076923075</v>
      </c>
      <c r="AC27" s="40">
        <f>(T27-U27)/(Summary!$P$55)*Summary!$P$57*(Summary!$P$58/Summary!$P$59)*10^3</f>
        <v>27.094736842105267</v>
      </c>
      <c r="AD27" s="15">
        <f>(AC27)/$M27</f>
        <v>25.561072492552363</v>
      </c>
      <c r="AE27" s="40">
        <f>W27/V27</f>
        <v>2.2752808988764048</v>
      </c>
      <c r="AF27" s="40">
        <f>(W27-X27)/(Summary!$P$55)*Summary!$P$57*(Summary!$P$58/Summary!$P$59)*10^3</f>
        <v>28.13684210526316</v>
      </c>
      <c r="AG27" s="15">
        <f>(AF27)/$M27</f>
        <v>26.544190665342835</v>
      </c>
      <c r="AH27" s="41">
        <f t="shared" si="39"/>
        <v>2.2923636178758451</v>
      </c>
      <c r="AI27" s="41">
        <f t="shared" ref="AI27:AI29" si="48">AVERAGE(Z27,AC27,AF27)</f>
        <v>27.442105263157899</v>
      </c>
      <c r="AJ27" s="41">
        <f t="shared" si="41"/>
        <v>25.888778550149187</v>
      </c>
    </row>
    <row r="28" spans="1:36" s="8" customFormat="1" x14ac:dyDescent="0.35">
      <c r="A28" s="12">
        <v>43174</v>
      </c>
      <c r="B28" s="13">
        <v>0.3125</v>
      </c>
      <c r="C28" s="18">
        <v>700</v>
      </c>
      <c r="D28" s="7">
        <v>1.6160000000000001</v>
      </c>
      <c r="E28" s="7">
        <v>1.6419999999999999</v>
      </c>
      <c r="F28" s="9">
        <f t="shared" si="22"/>
        <v>1.629</v>
      </c>
      <c r="G28" s="9">
        <v>317</v>
      </c>
      <c r="H28" s="9"/>
      <c r="I28" s="9"/>
      <c r="J28" s="9"/>
      <c r="K28" s="9"/>
      <c r="L28" s="9">
        <v>5</v>
      </c>
      <c r="M28" s="9"/>
      <c r="N28" s="15">
        <f t="shared" ref="N28:N29" si="49">IF(M28&gt;0,((M28*G28)/400),((((M27+M29)/2)*G28)/400))</f>
        <v>0.82023749999999263</v>
      </c>
      <c r="O28" s="15">
        <f t="shared" si="47"/>
        <v>0.79249999999999998</v>
      </c>
      <c r="P28" s="10">
        <v>0.316</v>
      </c>
      <c r="Q28" s="10">
        <v>0.75600000000000001</v>
      </c>
      <c r="R28" s="10"/>
      <c r="S28" s="10">
        <v>0.39500000000000002</v>
      </c>
      <c r="T28" s="10">
        <v>0.73599999999999999</v>
      </c>
      <c r="U28" s="10"/>
      <c r="V28" s="10">
        <v>0.374</v>
      </c>
      <c r="W28" s="10">
        <v>0.752</v>
      </c>
      <c r="X28" s="10"/>
      <c r="Y28" s="40">
        <f t="shared" ref="Y28:Y29" si="50">Q28/P28</f>
        <v>2.3924050632911391</v>
      </c>
      <c r="Z28" s="40">
        <f>(Q28-R28)/(Summary!$P$55)*Summary!$P$57*(Summary!$P$58/Summary!$P$59)*10^3</f>
        <v>26.261052631578949</v>
      </c>
      <c r="AA28" s="15">
        <f>(Z28)/(AVERAGE($M27:$M29))</f>
        <v>25.372997711670706</v>
      </c>
      <c r="AB28" s="40">
        <f t="shared" ref="AB28:AB29" si="51">T28/S28</f>
        <v>1.8632911392405063</v>
      </c>
      <c r="AC28" s="40">
        <f>(T28-U28)/(Summary!$P$55)*Summary!$P$57*(Summary!$P$58/Summary!$P$59)*10^3</f>
        <v>25.566315789473684</v>
      </c>
      <c r="AD28" s="15">
        <f>(AC28)/(AVERAGE($M27:$M29))</f>
        <v>24.701754385965131</v>
      </c>
      <c r="AE28" s="40">
        <f t="shared" ref="AE28:AE29" si="52">W28/V28</f>
        <v>2.0106951871657754</v>
      </c>
      <c r="AF28" s="40">
        <f>(W28-X28)/(Summary!$P$55)*Summary!$P$57*(Summary!$P$58/Summary!$P$59)*10^3</f>
        <v>26.122105263157895</v>
      </c>
      <c r="AG28" s="15">
        <f>(AF28)/(AVERAGE($M27:$M29))</f>
        <v>25.238749046529591</v>
      </c>
      <c r="AH28" s="41">
        <f t="shared" si="39"/>
        <v>2.0887971298991403</v>
      </c>
      <c r="AI28" s="41">
        <f t="shared" si="48"/>
        <v>25.983157894736845</v>
      </c>
      <c r="AJ28" s="41">
        <f t="shared" si="41"/>
        <v>25.104500381388476</v>
      </c>
    </row>
    <row r="29" spans="1:36" s="8" customFormat="1" x14ac:dyDescent="0.35">
      <c r="A29" s="12">
        <v>43175</v>
      </c>
      <c r="B29" s="13">
        <v>0.3125</v>
      </c>
      <c r="C29" s="18">
        <v>700</v>
      </c>
      <c r="D29" s="7">
        <v>1.6160000000000001</v>
      </c>
      <c r="E29" s="7">
        <v>1.6080000000000001</v>
      </c>
      <c r="F29" s="9">
        <f t="shared" si="22"/>
        <v>1.6120000000000001</v>
      </c>
      <c r="G29" s="9">
        <v>321.5</v>
      </c>
      <c r="H29" s="9">
        <v>1483.4</v>
      </c>
      <c r="I29" s="9">
        <v>1488.3</v>
      </c>
      <c r="J29" s="9">
        <v>1469.3</v>
      </c>
      <c r="K29" s="9">
        <v>1474.5</v>
      </c>
      <c r="L29" s="9">
        <v>5</v>
      </c>
      <c r="M29" s="9">
        <f t="shared" ref="M29" si="53">(((I29-H29)/L29)+((K29-J29)/L29))/2</f>
        <v>1.0099999999999909</v>
      </c>
      <c r="N29" s="15">
        <f t="shared" si="49"/>
        <v>0.81178749999999267</v>
      </c>
      <c r="O29" s="15">
        <f t="shared" si="47"/>
        <v>0.80374999999999996</v>
      </c>
      <c r="P29" s="10">
        <v>0.376</v>
      </c>
      <c r="Q29" s="10">
        <v>0.82</v>
      </c>
      <c r="R29" s="10"/>
      <c r="S29" s="10">
        <v>0.35799999999999998</v>
      </c>
      <c r="T29" s="10">
        <v>0.85</v>
      </c>
      <c r="U29" s="10"/>
      <c r="V29" s="10">
        <v>0.35399999999999998</v>
      </c>
      <c r="W29" s="10">
        <v>0.81399999999999995</v>
      </c>
      <c r="X29" s="10"/>
      <c r="Y29" s="40">
        <f t="shared" si="50"/>
        <v>2.1808510638297869</v>
      </c>
      <c r="Z29" s="40">
        <f>(Q29-R29)/(Summary!$P$55)*Summary!$P$57*(Summary!$P$58/Summary!$P$59)*10^3</f>
        <v>28.484210526315788</v>
      </c>
      <c r="AA29" s="15">
        <f>(Z29)/$M29</f>
        <v>28.202188639916876</v>
      </c>
      <c r="AB29" s="40">
        <f t="shared" si="51"/>
        <v>2.3743016759776538</v>
      </c>
      <c r="AC29" s="40">
        <f>(T29-U29)/(Summary!$P$55)*Summary!$P$57*(Summary!$P$58/Summary!$P$59)*10^3</f>
        <v>29.526315789473681</v>
      </c>
      <c r="AD29" s="15">
        <f>(AC29)/$M29</f>
        <v>29.233976029182127</v>
      </c>
      <c r="AE29" s="40">
        <f t="shared" si="52"/>
        <v>2.2994350282485874</v>
      </c>
      <c r="AF29" s="40">
        <f>(W29-X29)/(Summary!$P$55)*Summary!$P$57*(Summary!$P$58/Summary!$P$59)*10^3</f>
        <v>28.27578947368421</v>
      </c>
      <c r="AG29" s="15">
        <f>(AF29)/$M29</f>
        <v>27.995831162063826</v>
      </c>
      <c r="AH29" s="41">
        <f t="shared" si="39"/>
        <v>2.2848625893520094</v>
      </c>
      <c r="AI29" s="41">
        <f t="shared" si="48"/>
        <v>28.762105263157892</v>
      </c>
      <c r="AJ29" s="41">
        <f t="shared" si="41"/>
        <v>28.477331943720941</v>
      </c>
    </row>
    <row r="30" spans="1:36" s="16" customFormat="1" x14ac:dyDescent="0.35">
      <c r="C30" s="17"/>
    </row>
    <row r="31" spans="1:36" s="8" customFormat="1" x14ac:dyDescent="0.35">
      <c r="A31" s="12">
        <v>43186</v>
      </c>
      <c r="B31" s="13">
        <v>0.3125</v>
      </c>
      <c r="C31" s="18">
        <v>1000</v>
      </c>
      <c r="D31" s="7">
        <v>1.724</v>
      </c>
      <c r="E31" s="7">
        <v>1.6739999999999999</v>
      </c>
      <c r="F31" s="9">
        <f t="shared" ref="F31:F33" si="54">AVERAGE(D31:E31)</f>
        <v>1.6989999999999998</v>
      </c>
      <c r="G31" s="9">
        <v>288</v>
      </c>
      <c r="H31" s="9">
        <v>1459.8</v>
      </c>
      <c r="I31" s="9">
        <v>1465.7</v>
      </c>
      <c r="J31" s="9">
        <v>1467.9</v>
      </c>
      <c r="K31" s="9">
        <v>1472.1</v>
      </c>
      <c r="L31" s="9">
        <v>5</v>
      </c>
      <c r="M31" s="9">
        <f>(((I31-H31)/L31)+((K31-J31)/L31))/2</f>
        <v>1.0099999999999909</v>
      </c>
      <c r="N31" s="15">
        <f>IF(M31&gt;0,((M31*G31)/400),((((M31+M32)/2)*G31)/400))</f>
        <v>0.72719999999999341</v>
      </c>
      <c r="O31" s="15">
        <f t="shared" ref="O31:O36" si="55">G31/400</f>
        <v>0.72</v>
      </c>
      <c r="P31" s="10">
        <v>0.39800000000000002</v>
      </c>
      <c r="Q31" s="10">
        <v>0.61699999999999999</v>
      </c>
      <c r="R31" s="10">
        <v>2.1999999999999999E-2</v>
      </c>
      <c r="S31" s="10">
        <v>0.39500000000000002</v>
      </c>
      <c r="T31" s="10">
        <v>0.63400000000000001</v>
      </c>
      <c r="U31" s="10">
        <v>0.01</v>
      </c>
      <c r="V31" s="10">
        <v>0.35599999999999998</v>
      </c>
      <c r="W31" s="10">
        <v>0.69</v>
      </c>
      <c r="X31" s="10">
        <v>1.4E-2</v>
      </c>
      <c r="Y31" s="40">
        <f>Q31/P31</f>
        <v>1.550251256281407</v>
      </c>
      <c r="Z31" s="40">
        <f>(Q31-R31)/(Summary!$P$55)*Summary!$P$57*(Summary!$P$58/Summary!$P$59)*10^3</f>
        <v>20.668421052631576</v>
      </c>
      <c r="AA31" s="15">
        <f>(Z31)/(AVERAGE($M31:$M32))</f>
        <v>20.66842105263181</v>
      </c>
      <c r="AB31" s="40">
        <f>T31/S31</f>
        <v>1.6050632911392404</v>
      </c>
      <c r="AC31" s="40">
        <f>(T31-U31)/(Summary!$P$55)*Summary!$P$57*(Summary!$P$58/Summary!$P$59)*10^3</f>
        <v>21.675789473684208</v>
      </c>
      <c r="AD31" s="15">
        <f>(AC31)/(AVERAGE($M31:$M32))</f>
        <v>21.675789473684453</v>
      </c>
      <c r="AE31" s="40">
        <f>W31/V31</f>
        <v>1.9382022471910112</v>
      </c>
      <c r="AF31" s="40">
        <f>(W31-X31)/(Summary!$P$55)*Summary!$P$57*(Summary!$P$58/Summary!$P$59)*10^3</f>
        <v>23.482105263157891</v>
      </c>
      <c r="AG31" s="15">
        <f>(AF31)/(AVERAGE($M31:$M32))</f>
        <v>23.482105263158157</v>
      </c>
      <c r="AH31" s="41">
        <f t="shared" ref="AH31:AH36" si="56">AVERAGE(Y31,AB31,AE31)</f>
        <v>1.6978389315372195</v>
      </c>
      <c r="AI31" s="41">
        <f t="shared" ref="AI31:AI33" si="57">AVERAGE(Z31,AC31,AF31)</f>
        <v>21.942105263157895</v>
      </c>
      <c r="AJ31" s="41">
        <f t="shared" ref="AJ31:AJ36" si="58">AVERAGE(AA31,AD31,AG31)</f>
        <v>21.94210526315814</v>
      </c>
    </row>
    <row r="32" spans="1:36" s="8" customFormat="1" x14ac:dyDescent="0.35">
      <c r="A32" s="12">
        <v>43187</v>
      </c>
      <c r="B32" s="13">
        <v>0.3125</v>
      </c>
      <c r="C32" s="18">
        <v>1000</v>
      </c>
      <c r="D32" s="7">
        <v>1.62</v>
      </c>
      <c r="E32" s="7">
        <v>1.76</v>
      </c>
      <c r="F32" s="9">
        <f t="shared" si="54"/>
        <v>1.69</v>
      </c>
      <c r="G32" s="9">
        <v>278.39999999999998</v>
      </c>
      <c r="H32" s="9">
        <v>1483.4</v>
      </c>
      <c r="I32" s="9">
        <v>1488.3</v>
      </c>
      <c r="J32" s="9">
        <v>1466.1</v>
      </c>
      <c r="K32" s="9">
        <v>1471.1</v>
      </c>
      <c r="L32" s="9">
        <v>5</v>
      </c>
      <c r="M32" s="9">
        <f>(((I32-H32)/L32)+((K32-J32)/L32))/2</f>
        <v>0.98999999999998634</v>
      </c>
      <c r="N32" s="15">
        <f t="shared" ref="N32" si="59">IF(M32&gt;0,((M32*G32)/400),((((M31+M33)/2)*G32)/400))</f>
        <v>0.68903999999999044</v>
      </c>
      <c r="O32" s="15">
        <f t="shared" si="55"/>
        <v>0.69599999999999995</v>
      </c>
      <c r="P32" s="10">
        <v>0.376</v>
      </c>
      <c r="Q32" s="10">
        <v>0.71</v>
      </c>
      <c r="R32" s="10">
        <v>1.2E-2</v>
      </c>
      <c r="S32" s="10">
        <v>0.34799999999999998</v>
      </c>
      <c r="T32" s="10">
        <v>0.73399999999999999</v>
      </c>
      <c r="U32" s="10">
        <v>1.0999999999999999E-2</v>
      </c>
      <c r="V32" s="10">
        <v>0.314</v>
      </c>
      <c r="W32" s="10">
        <v>0.68</v>
      </c>
      <c r="X32" s="10">
        <v>1.0999999999999999E-2</v>
      </c>
      <c r="Y32" s="40">
        <f t="shared" ref="Y32:Y33" si="60">Q32/P32</f>
        <v>1.8882978723404253</v>
      </c>
      <c r="Z32" s="40">
        <f>(Q32-R32)/(Summary!$P$55)*Summary!$P$57*(Summary!$P$58/Summary!$P$59)*10^3</f>
        <v>24.24631578947368</v>
      </c>
      <c r="AA32" s="15">
        <f>(Z32)/(AVERAGE($M31:$M32))</f>
        <v>24.246315789473954</v>
      </c>
      <c r="AB32" s="40">
        <f t="shared" ref="AB32:AB33" si="61">T32/S32</f>
        <v>2.1091954022988508</v>
      </c>
      <c r="AC32" s="40">
        <f>(T32-U32)/(Summary!$P$55)*Summary!$P$57*(Summary!$P$58/Summary!$P$59)*10^3</f>
        <v>25.114736842105263</v>
      </c>
      <c r="AD32" s="15">
        <f>(AC32)/(AVERAGE($M31:$M32))</f>
        <v>25.114736842105547</v>
      </c>
      <c r="AE32" s="40">
        <f t="shared" ref="AE32:AE33" si="62">W32/V32</f>
        <v>2.1656050955414012</v>
      </c>
      <c r="AF32" s="40">
        <f>(W32-X32)/(Summary!$P$55)*Summary!$P$57*(Summary!$P$58/Summary!$P$59)*10^3</f>
        <v>23.238947368421055</v>
      </c>
      <c r="AG32" s="15">
        <f>(AF32)/(AVERAGE($M31:$M32))</f>
        <v>23.238947368421318</v>
      </c>
      <c r="AH32" s="41">
        <f t="shared" si="56"/>
        <v>2.0543661233935588</v>
      </c>
      <c r="AI32" s="41">
        <f t="shared" si="57"/>
        <v>24.2</v>
      </c>
      <c r="AJ32" s="41">
        <f t="shared" si="58"/>
        <v>24.200000000000273</v>
      </c>
    </row>
    <row r="33" spans="1:36" s="8" customFormat="1" x14ac:dyDescent="0.35">
      <c r="A33" s="12">
        <v>43188</v>
      </c>
      <c r="B33" s="13">
        <v>0.3125</v>
      </c>
      <c r="C33" s="18">
        <v>1000</v>
      </c>
      <c r="D33" s="7">
        <v>1.6659999999999999</v>
      </c>
      <c r="E33" s="7">
        <v>1.5880000000000001</v>
      </c>
      <c r="F33" s="9">
        <f t="shared" si="54"/>
        <v>1.627</v>
      </c>
      <c r="G33" s="9">
        <v>285.10000000000002</v>
      </c>
      <c r="H33" s="9">
        <v>1458.5</v>
      </c>
      <c r="I33" s="9">
        <v>1463.7</v>
      </c>
      <c r="J33" s="9">
        <v>1460</v>
      </c>
      <c r="K33" s="9">
        <v>1465.9</v>
      </c>
      <c r="L33" s="9">
        <v>5</v>
      </c>
      <c r="M33" s="9">
        <f>(((I33-H33)/L33)+((K33-J33)/L33))/2</f>
        <v>1.1100000000000136</v>
      </c>
      <c r="N33" s="15">
        <f>IF(M33&gt;0,((M33*G33)/400),((((M31+M32)/2)*G33)/400))</f>
        <v>0.79115250000000981</v>
      </c>
      <c r="O33" s="15">
        <f t="shared" si="55"/>
        <v>0.71275000000000011</v>
      </c>
      <c r="P33" s="10">
        <v>0.307</v>
      </c>
      <c r="Q33" s="10">
        <v>0.69</v>
      </c>
      <c r="R33" s="10">
        <v>8.9999999999999993E-3</v>
      </c>
      <c r="S33" s="10">
        <v>0.315</v>
      </c>
      <c r="T33" s="10">
        <v>0.71399999999999997</v>
      </c>
      <c r="U33" s="10">
        <v>1.4999999999999999E-2</v>
      </c>
      <c r="V33" s="10">
        <v>0.34599999999999997</v>
      </c>
      <c r="W33" s="10">
        <v>0.72399999999999998</v>
      </c>
      <c r="X33" s="10">
        <v>2.1000000000000001E-2</v>
      </c>
      <c r="Y33" s="40">
        <f t="shared" si="60"/>
        <v>2.2475570032573287</v>
      </c>
      <c r="Z33" s="40">
        <f>(Q33-R33)/(Summary!$P$55)*Summary!$P$57*(Summary!$P$58/Summary!$P$59)*10^3</f>
        <v>23.655789473684205</v>
      </c>
      <c r="AA33" s="15">
        <f>(Z33)/(AVERAGE($M31:$M32))</f>
        <v>23.655789473684472</v>
      </c>
      <c r="AB33" s="40">
        <f t="shared" si="61"/>
        <v>2.2666666666666666</v>
      </c>
      <c r="AC33" s="40">
        <f>(T33-U33)/(Summary!$P$55)*Summary!$P$57*(Summary!$P$58/Summary!$P$59)*10^3</f>
        <v>24.281052631578945</v>
      </c>
      <c r="AD33" s="15">
        <f>(AC33)/(AVERAGE($M31:$M32))</f>
        <v>24.281052631579218</v>
      </c>
      <c r="AE33" s="40">
        <f t="shared" si="62"/>
        <v>2.0924855491329479</v>
      </c>
      <c r="AF33" s="40">
        <f>(W33-X33)/(Summary!$P$55)*Summary!$P$57*(Summary!$P$58/Summary!$P$59)*10^3</f>
        <v>24.42</v>
      </c>
      <c r="AG33" s="15">
        <f>(AF33)/(AVERAGE($M31:$M32))</f>
        <v>24.420000000000279</v>
      </c>
      <c r="AH33" s="41">
        <f t="shared" si="56"/>
        <v>2.2022364063523141</v>
      </c>
      <c r="AI33" s="41">
        <f t="shared" si="57"/>
        <v>24.11894736842105</v>
      </c>
      <c r="AJ33" s="41">
        <f t="shared" si="58"/>
        <v>24.118947368421328</v>
      </c>
    </row>
    <row r="34" spans="1:36" s="8" customFormat="1" x14ac:dyDescent="0.35">
      <c r="A34" s="12">
        <v>43186</v>
      </c>
      <c r="B34" s="13">
        <v>0.3125</v>
      </c>
      <c r="C34" s="18">
        <v>1000</v>
      </c>
      <c r="D34" s="7">
        <v>1.784</v>
      </c>
      <c r="E34" s="7">
        <v>1.756</v>
      </c>
      <c r="F34" s="9">
        <f t="shared" ref="F34:F36" si="63">AVERAGE(D34:E34)</f>
        <v>1.77</v>
      </c>
      <c r="G34" s="9">
        <v>272</v>
      </c>
      <c r="H34" s="9">
        <v>1462.9</v>
      </c>
      <c r="I34" s="9">
        <v>1468.2</v>
      </c>
      <c r="J34" s="9">
        <v>1483.8</v>
      </c>
      <c r="K34" s="9">
        <v>1489.2</v>
      </c>
      <c r="L34" s="9">
        <v>5</v>
      </c>
      <c r="M34" s="9">
        <f>(((I34-H34)/L34)+((K34-J34)/L34))/2</f>
        <v>1.0700000000000047</v>
      </c>
      <c r="N34" s="15">
        <f>IF(M34&gt;0,((M34*G34)/400),((((M34+M35)/2)*G34)/400))</f>
        <v>0.72760000000000313</v>
      </c>
      <c r="O34" s="15">
        <f t="shared" si="55"/>
        <v>0.68</v>
      </c>
      <c r="P34" s="10">
        <v>0.34599999999999997</v>
      </c>
      <c r="Q34" s="10">
        <v>0.752</v>
      </c>
      <c r="R34" s="10">
        <v>4.0000000000000001E-3</v>
      </c>
      <c r="S34" s="10">
        <v>0.36099999999999999</v>
      </c>
      <c r="T34" s="10">
        <v>0.72299999999999998</v>
      </c>
      <c r="U34" s="10">
        <v>8.9999999999999993E-3</v>
      </c>
      <c r="V34" s="10">
        <v>0.40400000000000003</v>
      </c>
      <c r="W34" s="10">
        <v>0.65600000000000003</v>
      </c>
      <c r="X34" s="10">
        <v>8.0000000000000002E-3</v>
      </c>
      <c r="Y34" s="40">
        <f>Q34/P34</f>
        <v>2.1734104046242777</v>
      </c>
      <c r="Z34" s="40">
        <f>(Q34-R34)/(Summary!$P$55)*Summary!$P$57*(Summary!$P$58/Summary!$P$59)*10^3</f>
        <v>25.983157894736841</v>
      </c>
      <c r="AA34" s="15">
        <f>(Z34)/(AVERAGE($M34:$M35))</f>
        <v>24.628585682215121</v>
      </c>
      <c r="AB34" s="40">
        <f>T34/S34</f>
        <v>2.0027700831024933</v>
      </c>
      <c r="AC34" s="40">
        <f>(T34-U34)/(Summary!$P$55)*Summary!$P$57*(Summary!$P$58/Summary!$P$59)*10^3</f>
        <v>24.802105263157891</v>
      </c>
      <c r="AD34" s="15">
        <f>(AC34)/(AVERAGE($M34:$M35))</f>
        <v>23.509104514841702</v>
      </c>
      <c r="AE34" s="40">
        <f>W34/V34</f>
        <v>1.6237623762376237</v>
      </c>
      <c r="AF34" s="40">
        <f>(W34-X34)/(Summary!$P$55)*Summary!$P$57*(Summary!$P$58/Summary!$P$59)*10^3</f>
        <v>22.509473684210526</v>
      </c>
      <c r="AG34" s="15">
        <f>(AF34)/(AVERAGE($M34:$M35))</f>
        <v>21.335994013469783</v>
      </c>
      <c r="AH34" s="41">
        <f t="shared" si="56"/>
        <v>1.9333142879881315</v>
      </c>
      <c r="AI34" s="41">
        <f>AVERAGE(Z34,AC34,AF34)</f>
        <v>24.431578947368422</v>
      </c>
      <c r="AJ34" s="41">
        <f t="shared" si="58"/>
        <v>23.157894736842206</v>
      </c>
    </row>
    <row r="35" spans="1:36" s="8" customFormat="1" x14ac:dyDescent="0.35">
      <c r="A35" s="12">
        <v>43187</v>
      </c>
      <c r="B35" s="13">
        <v>0.3125</v>
      </c>
      <c r="C35" s="18">
        <v>1000</v>
      </c>
      <c r="D35" s="7">
        <v>1.6890000000000001</v>
      </c>
      <c r="E35" s="7">
        <v>1.724</v>
      </c>
      <c r="F35" s="9">
        <f t="shared" si="63"/>
        <v>1.7065000000000001</v>
      </c>
      <c r="G35" s="9">
        <v>275.2</v>
      </c>
      <c r="H35" s="9">
        <v>1471.3</v>
      </c>
      <c r="I35" s="9">
        <v>1476.1</v>
      </c>
      <c r="J35" s="9">
        <v>1463.5</v>
      </c>
      <c r="K35" s="9">
        <v>1469.1</v>
      </c>
      <c r="L35" s="9">
        <v>5</v>
      </c>
      <c r="M35" s="9">
        <f>(((I35-H35)/L35)+((K35-J35)/L35))/2</f>
        <v>1.0399999999999863</v>
      </c>
      <c r="N35" s="15">
        <f>IF(M35&gt;0,((M35*G35)/400),((((M34+M36)/2)*G35)/400))</f>
        <v>0.7155199999999905</v>
      </c>
      <c r="O35" s="15">
        <f t="shared" si="55"/>
        <v>0.68799999999999994</v>
      </c>
      <c r="P35" s="10">
        <v>0.42</v>
      </c>
      <c r="Q35" s="10">
        <v>0.68100000000000005</v>
      </c>
      <c r="R35" s="10">
        <v>1.0999999999999999E-2</v>
      </c>
      <c r="S35" s="10">
        <v>0.36799999999999999</v>
      </c>
      <c r="T35" s="10">
        <v>0.64800000000000002</v>
      </c>
      <c r="U35" s="10">
        <v>2.1000000000000001E-2</v>
      </c>
      <c r="V35" s="10">
        <v>0.43</v>
      </c>
      <c r="W35" s="10">
        <v>0.73099999999999998</v>
      </c>
      <c r="X35" s="10">
        <v>2.5999999999999999E-2</v>
      </c>
      <c r="Y35" s="40">
        <f t="shared" ref="Y35:Y36" si="64">Q35/P35</f>
        <v>1.6214285714285717</v>
      </c>
      <c r="Z35" s="40">
        <f>(Q35-R35)/(Summary!$P$55)*Summary!$P$57*(Summary!$P$58/Summary!$P$59)*10^3</f>
        <v>23.273684210526319</v>
      </c>
      <c r="AA35" s="15">
        <f>(Z35)/(AVERAGE($M34:$M36))</f>
        <v>22.060364180593762</v>
      </c>
      <c r="AB35" s="40">
        <f t="shared" ref="AB35:AB36" si="65">T35/S35</f>
        <v>1.7608695652173914</v>
      </c>
      <c r="AC35" s="40">
        <f>(T35-U35)/(Summary!$P$55)*Summary!$P$57*(Summary!$P$58/Summary!$P$59)*10^3</f>
        <v>21.78</v>
      </c>
      <c r="AD35" s="15">
        <f>(AC35)/(AVERAGE($M34:$M36))</f>
        <v>20.644549763033265</v>
      </c>
      <c r="AE35" s="40">
        <f t="shared" ref="AE35:AE36" si="66">W35/V35</f>
        <v>1.7</v>
      </c>
      <c r="AF35" s="40">
        <f>(W35-X35)/(Summary!$P$55)*Summary!$P$57*(Summary!$P$58/Summary!$P$59)*10^3</f>
        <v>24.489473684210523</v>
      </c>
      <c r="AG35" s="15">
        <f>(AF35)/(AVERAGE($M34:$M35))</f>
        <v>23.212771264654624</v>
      </c>
      <c r="AH35" s="41">
        <f t="shared" si="56"/>
        <v>1.6940993788819876</v>
      </c>
      <c r="AI35" s="41">
        <f t="shared" ref="AI35:AI36" si="67">AVERAGE(Z35,AC35,AF35)</f>
        <v>23.18105263157895</v>
      </c>
      <c r="AJ35" s="41">
        <f t="shared" si="58"/>
        <v>21.972561736093883</v>
      </c>
    </row>
    <row r="36" spans="1:36" s="8" customFormat="1" x14ac:dyDescent="0.35">
      <c r="A36" s="12">
        <v>43188</v>
      </c>
      <c r="B36" s="13">
        <v>0.3125</v>
      </c>
      <c r="C36" s="18">
        <v>1000</v>
      </c>
      <c r="D36" s="7">
        <v>1.6279999999999999</v>
      </c>
      <c r="E36" s="7">
        <v>1.74</v>
      </c>
      <c r="F36" s="9">
        <f t="shared" si="63"/>
        <v>1.6839999999999999</v>
      </c>
      <c r="G36" s="9">
        <v>279</v>
      </c>
      <c r="H36" s="9"/>
      <c r="I36" s="9"/>
      <c r="J36" s="9"/>
      <c r="K36" s="9"/>
      <c r="L36" s="9">
        <v>5</v>
      </c>
      <c r="M36" s="9"/>
      <c r="N36" s="15">
        <f>IF(M36&gt;0,((M36*G36)/400),((((M34+M35)/2)*G36)/400))</f>
        <v>0.73586249999999676</v>
      </c>
      <c r="O36" s="15">
        <f t="shared" si="55"/>
        <v>0.69750000000000001</v>
      </c>
      <c r="P36" s="10">
        <v>0.39600000000000002</v>
      </c>
      <c r="Q36" s="10">
        <v>0.748</v>
      </c>
      <c r="R36" s="10">
        <v>8.9999999999999993E-3</v>
      </c>
      <c r="S36" s="10">
        <v>0.38200000000000001</v>
      </c>
      <c r="T36" s="10">
        <v>0.63200000000000001</v>
      </c>
      <c r="U36" s="10">
        <v>1.4999999999999999E-2</v>
      </c>
      <c r="V36" s="10">
        <v>0.307</v>
      </c>
      <c r="W36" s="10">
        <v>0.68400000000000005</v>
      </c>
      <c r="X36" s="10">
        <v>1.7000000000000001E-2</v>
      </c>
      <c r="Y36" s="40">
        <f t="shared" si="64"/>
        <v>1.8888888888888888</v>
      </c>
      <c r="Z36" s="40">
        <f>(Q36-R36)/(Summary!$P$55)*Summary!$P$57*(Summary!$P$58/Summary!$P$59)*10^3</f>
        <v>25.670526315789473</v>
      </c>
      <c r="AA36" s="15">
        <f>(Z36)/(AVERAGE($M34:$M36))</f>
        <v>24.332252432028042</v>
      </c>
      <c r="AB36" s="40">
        <f t="shared" si="65"/>
        <v>1.6544502617801047</v>
      </c>
      <c r="AC36" s="40">
        <f>(T36-U36)/(Summary!$P$55)*Summary!$P$57*(Summary!$P$58/Summary!$P$59)*10^3</f>
        <v>21.432631578947369</v>
      </c>
      <c r="AD36" s="15">
        <f>(AC36)/(AVERAGE($M34:$M36))</f>
        <v>20.315290596158729</v>
      </c>
      <c r="AE36" s="40">
        <f t="shared" si="66"/>
        <v>2.228013029315961</v>
      </c>
      <c r="AF36" s="40">
        <f>(W36-X36)/(Summary!$P$55)*Summary!$P$57*(Summary!$P$58/Summary!$P$59)*10^3</f>
        <v>23.169473684210523</v>
      </c>
      <c r="AG36" s="15">
        <f>(AF36)/(AVERAGE($M34:$M35))</f>
        <v>21.961586430531394</v>
      </c>
      <c r="AH36" s="41">
        <f t="shared" si="56"/>
        <v>1.9237840599949847</v>
      </c>
      <c r="AI36" s="41">
        <f t="shared" si="67"/>
        <v>23.42421052631579</v>
      </c>
      <c r="AJ36" s="41">
        <f t="shared" si="58"/>
        <v>22.203043152906059</v>
      </c>
    </row>
    <row r="37" spans="1:36" s="16" customFormat="1" x14ac:dyDescent="0.35">
      <c r="C37" s="17"/>
    </row>
    <row r="38" spans="1:36" s="8" customFormat="1" x14ac:dyDescent="0.35">
      <c r="A38" s="12">
        <v>43180</v>
      </c>
      <c r="B38" s="13">
        <v>0.3125</v>
      </c>
      <c r="C38" s="18">
        <v>1800</v>
      </c>
      <c r="D38" s="7">
        <v>1.85</v>
      </c>
      <c r="E38" s="7">
        <v>1.8</v>
      </c>
      <c r="F38" s="9">
        <f t="shared" ref="F38:F40" si="68">AVERAGE(D38:E38)</f>
        <v>1.8250000000000002</v>
      </c>
      <c r="G38" s="9">
        <v>276</v>
      </c>
      <c r="H38" s="9">
        <v>1458.5</v>
      </c>
      <c r="I38" s="9">
        <v>1463.77</v>
      </c>
      <c r="J38" s="9">
        <v>1460</v>
      </c>
      <c r="K38" s="9">
        <v>1465.3</v>
      </c>
      <c r="L38" s="9">
        <v>5</v>
      </c>
      <c r="M38" s="9">
        <f>(((I38-H38)/L38)+((K38-J38)/L38))/2</f>
        <v>1.0569999999999937</v>
      </c>
      <c r="N38" s="15">
        <f>IF(M38&gt;0,((M38*G38)/400),((((#REF!+M39)/2)*G38)/400))</f>
        <v>0.7293299999999957</v>
      </c>
      <c r="O38" s="15">
        <f t="shared" ref="O38:O40" si="69">G38/400</f>
        <v>0.69</v>
      </c>
      <c r="P38" s="10">
        <v>0.496</v>
      </c>
      <c r="Q38" s="10">
        <v>0.56000000000000005</v>
      </c>
      <c r="R38" s="10">
        <v>1.2E-2</v>
      </c>
      <c r="S38" s="10">
        <v>0.36799999999999999</v>
      </c>
      <c r="T38" s="10">
        <v>0.57799999999999996</v>
      </c>
      <c r="U38" s="10">
        <v>0.01</v>
      </c>
      <c r="V38" s="10">
        <v>0.442</v>
      </c>
      <c r="W38" s="10">
        <v>0.61399999999999999</v>
      </c>
      <c r="X38" s="10">
        <v>3.3000000000000002E-2</v>
      </c>
      <c r="Y38" s="40">
        <f>Q38/P38</f>
        <v>1.1290322580645162</v>
      </c>
      <c r="Z38" s="40">
        <f>(Q38-R38)/(Summary!$P$55)*Summary!$P$57*(Summary!$P$58/Summary!$P$59)*10^3</f>
        <v>19.035789473684215</v>
      </c>
      <c r="AA38" s="15">
        <f>(Z38)/$M38</f>
        <v>18.009261564507405</v>
      </c>
      <c r="AB38" s="40">
        <f>T38/S38</f>
        <v>1.5706521739130435</v>
      </c>
      <c r="AC38" s="40">
        <f>(T38-U38)/(Summary!$P$55)*Summary!$P$57*(Summary!$P$58/Summary!$P$59)*10^3</f>
        <v>19.730526315789472</v>
      </c>
      <c r="AD38" s="15">
        <f>(AC38)/$M38</f>
        <v>18.666533884379934</v>
      </c>
      <c r="AE38" s="40">
        <f>W38/V38</f>
        <v>1.3891402714932126</v>
      </c>
      <c r="AF38" s="40">
        <f>(W38-X38)/(Summary!$P$55)*Summary!$P$57*(Summary!$P$58/Summary!$P$59)*10^3</f>
        <v>20.182105263157894</v>
      </c>
      <c r="AG38" s="15">
        <f>(AF38)/$M38</f>
        <v>19.09376089229708</v>
      </c>
      <c r="AH38" s="41">
        <f t="shared" ref="AH38:AH43" si="70">AVERAGE(Y38,AB38,AE38)</f>
        <v>1.3629415678235908</v>
      </c>
      <c r="AI38" s="41">
        <f t="shared" ref="AI38:AI40" si="71">AVERAGE(Z38,AC38,AF38)</f>
        <v>19.649473684210527</v>
      </c>
      <c r="AJ38" s="41">
        <f t="shared" ref="AJ38:AJ43" si="72">AVERAGE(AA38,AD38,AG38)</f>
        <v>18.589852113728142</v>
      </c>
    </row>
    <row r="39" spans="1:36" s="8" customFormat="1" x14ac:dyDescent="0.35">
      <c r="A39" s="12">
        <v>43181</v>
      </c>
      <c r="B39" s="13">
        <v>0.3125</v>
      </c>
      <c r="C39" s="18">
        <v>1800</v>
      </c>
      <c r="D39" s="7">
        <v>1.78</v>
      </c>
      <c r="E39" s="7">
        <v>1.75</v>
      </c>
      <c r="F39" s="9">
        <f t="shared" si="68"/>
        <v>1.7650000000000001</v>
      </c>
      <c r="G39" s="9">
        <v>270</v>
      </c>
      <c r="H39" s="9"/>
      <c r="I39" s="9"/>
      <c r="J39" s="9"/>
      <c r="K39" s="9"/>
      <c r="L39" s="9">
        <v>5</v>
      </c>
      <c r="M39" s="9"/>
      <c r="N39" s="15">
        <f t="shared" ref="N39" si="73">IF(M39&gt;0,((M39*G39)/400),((((M38+M40)/2)*G39)/400))</f>
        <v>0.72461249999999322</v>
      </c>
      <c r="O39" s="15">
        <f t="shared" si="69"/>
        <v>0.67500000000000004</v>
      </c>
      <c r="P39" s="10">
        <v>0.64300000000000002</v>
      </c>
      <c r="Q39" s="10">
        <v>0.59</v>
      </c>
      <c r="R39" s="10">
        <v>2.4E-2</v>
      </c>
      <c r="S39" s="10">
        <v>0.82199999999999995</v>
      </c>
      <c r="T39" s="10">
        <v>0.69</v>
      </c>
      <c r="U39" s="10">
        <v>3.2000000000000001E-2</v>
      </c>
      <c r="V39" s="10">
        <v>0.75600000000000001</v>
      </c>
      <c r="W39" s="10">
        <v>0.54600000000000004</v>
      </c>
      <c r="X39" s="10">
        <v>0.02</v>
      </c>
      <c r="Y39" s="40">
        <f t="shared" ref="Y39:Y40" si="74">Q39/P39</f>
        <v>0.91757387247278377</v>
      </c>
      <c r="Z39" s="40">
        <f>(Q39-R39)/(Summary!$P$55)*Summary!$P$57*(Summary!$P$58/Summary!$P$59)*10^3</f>
        <v>19.661052631578944</v>
      </c>
      <c r="AA39" s="15">
        <f>(Z39)/(AVERAGE($M38:$M40))</f>
        <v>18.314906969333144</v>
      </c>
      <c r="AB39" s="40">
        <f t="shared" ref="AB39:AB40" si="75">T39/S39</f>
        <v>0.83941605839416056</v>
      </c>
      <c r="AC39" s="40">
        <f>(T39-U39)/(Summary!$P$55)*Summary!$P$57*(Summary!$P$58/Summary!$P$59)*10^3</f>
        <v>22.856842105263159</v>
      </c>
      <c r="AD39" s="15">
        <f>(AC39)/(AVERAGE($M38:$M40))</f>
        <v>21.29188831417175</v>
      </c>
      <c r="AE39" s="40">
        <f t="shared" ref="AE39:AE40" si="76">W39/V39</f>
        <v>0.72222222222222232</v>
      </c>
      <c r="AF39" s="40">
        <f>(W39-X39)/(Summary!$P$55)*Summary!$P$57*(Summary!$P$58/Summary!$P$59)*10^3</f>
        <v>18.271578947368418</v>
      </c>
      <c r="AG39" s="15">
        <f>(AF39)/(AVERAGE($M38:$M40))</f>
        <v>17.020567254185924</v>
      </c>
      <c r="AH39" s="41">
        <f t="shared" si="70"/>
        <v>0.82640405102972225</v>
      </c>
      <c r="AI39" s="41">
        <f t="shared" si="71"/>
        <v>20.263157894736839</v>
      </c>
      <c r="AJ39" s="41">
        <f t="shared" si="72"/>
        <v>18.875787512563605</v>
      </c>
    </row>
    <row r="40" spans="1:36" s="8" customFormat="1" x14ac:dyDescent="0.35">
      <c r="A40" s="12">
        <v>43182</v>
      </c>
      <c r="B40" s="13">
        <v>0.3125</v>
      </c>
      <c r="C40" s="18">
        <v>1800</v>
      </c>
      <c r="D40" s="7">
        <v>1.7849999999999999</v>
      </c>
      <c r="E40" s="7">
        <v>1.7949999999999999</v>
      </c>
      <c r="F40" s="9">
        <f t="shared" si="68"/>
        <v>1.79</v>
      </c>
      <c r="G40" s="9">
        <v>265</v>
      </c>
      <c r="H40" s="9">
        <v>1477.7</v>
      </c>
      <c r="I40" s="9">
        <v>1481.5</v>
      </c>
      <c r="J40" s="9">
        <v>1477.4</v>
      </c>
      <c r="K40" s="9">
        <v>1484.5</v>
      </c>
      <c r="L40" s="9">
        <v>5</v>
      </c>
      <c r="M40" s="9">
        <f t="shared" ref="M40" si="77">(((I40-H40)/L40)+((K40-J40)/L40))/2</f>
        <v>1.0899999999999863</v>
      </c>
      <c r="N40" s="15">
        <f>IF(M40&gt;0,((M40*G40)/400),((((M39+#REF!)/2)*G40)/400))</f>
        <v>0.72212499999999091</v>
      </c>
      <c r="O40" s="15">
        <f t="shared" si="69"/>
        <v>0.66249999999999998</v>
      </c>
      <c r="P40" s="10">
        <v>0.35199999999999998</v>
      </c>
      <c r="Q40" s="10">
        <v>0.60799999999999998</v>
      </c>
      <c r="R40" s="10">
        <v>7.0000000000000001E-3</v>
      </c>
      <c r="S40" s="10">
        <v>0.43099999999999999</v>
      </c>
      <c r="T40" s="10">
        <v>0.56200000000000006</v>
      </c>
      <c r="U40" s="10">
        <v>8.9999999999999993E-3</v>
      </c>
      <c r="V40" s="10">
        <v>0.36599999999999999</v>
      </c>
      <c r="W40" s="10">
        <v>0.57999999999999996</v>
      </c>
      <c r="X40" s="10">
        <v>1.6E-2</v>
      </c>
      <c r="Y40" s="40">
        <f t="shared" si="74"/>
        <v>1.7272727272727273</v>
      </c>
      <c r="Z40" s="40">
        <f>(Q40-R40)/(Summary!$P$55)*Summary!$P$57*(Summary!$P$58/Summary!$P$59)*10^3</f>
        <v>20.876842105263158</v>
      </c>
      <c r="AA40" s="15">
        <f>(Z40)/$M40</f>
        <v>19.153066151617818</v>
      </c>
      <c r="AB40" s="40">
        <f t="shared" si="75"/>
        <v>1.3039443155452437</v>
      </c>
      <c r="AC40" s="40">
        <f>(T40-U40)/(Summary!$P$55)*Summary!$P$57*(Summary!$P$58/Summary!$P$59)*10^3</f>
        <v>19.209473684210529</v>
      </c>
      <c r="AD40" s="15">
        <f>(AC40)/$M40</f>
        <v>17.623370352486944</v>
      </c>
      <c r="AE40" s="40">
        <f t="shared" si="76"/>
        <v>1.5846994535519126</v>
      </c>
      <c r="AF40" s="40">
        <f>(W40-X40)/(Summary!$P$55)*Summary!$P$57*(Summary!$P$58/Summary!$P$59)*10^3</f>
        <v>19.591578947368419</v>
      </c>
      <c r="AG40" s="15">
        <f>(AF40)/$M40</f>
        <v>17.973925639787765</v>
      </c>
      <c r="AH40" s="41">
        <f t="shared" si="70"/>
        <v>1.5386388321232947</v>
      </c>
      <c r="AI40" s="41">
        <f t="shared" si="71"/>
        <v>19.89263157894737</v>
      </c>
      <c r="AJ40" s="41">
        <f t="shared" si="72"/>
        <v>18.250120714630842</v>
      </c>
    </row>
    <row r="41" spans="1:36" s="8" customFormat="1" x14ac:dyDescent="0.35">
      <c r="A41" s="12">
        <v>43180</v>
      </c>
      <c r="B41" s="13">
        <v>0.3125</v>
      </c>
      <c r="C41" s="18" t="e">
        <f>#REF!</f>
        <v>#REF!</v>
      </c>
      <c r="D41" s="7">
        <v>1.75</v>
      </c>
      <c r="E41" s="7">
        <v>1.65</v>
      </c>
      <c r="F41" s="9">
        <f t="shared" ref="F41:F43" si="78">AVERAGE(D41:E41)</f>
        <v>1.7</v>
      </c>
      <c r="G41" s="9">
        <v>264.5</v>
      </c>
      <c r="H41" s="9">
        <v>1463</v>
      </c>
      <c r="I41" s="9">
        <v>1468</v>
      </c>
      <c r="J41" s="9">
        <v>1450.5</v>
      </c>
      <c r="K41" s="9">
        <v>1456</v>
      </c>
      <c r="L41" s="9">
        <v>5</v>
      </c>
      <c r="M41" s="9">
        <f>(((I41-H41)/L41)+((K41-J41)/L41))/2</f>
        <v>1.05</v>
      </c>
      <c r="N41" s="15">
        <f>IF(M41&gt;0,((M41*G41)/400),((((#REF!+M42)/2)*G41)/400))</f>
        <v>0.69431250000000011</v>
      </c>
      <c r="O41" s="15">
        <f t="shared" ref="O41:O43" si="79">G41/400</f>
        <v>0.66125</v>
      </c>
      <c r="P41" s="10">
        <v>0.38300000000000001</v>
      </c>
      <c r="Q41" s="10">
        <v>0.57099999999999995</v>
      </c>
      <c r="R41" s="10">
        <v>8.9999999999999993E-3</v>
      </c>
      <c r="S41" s="10">
        <v>0.314</v>
      </c>
      <c r="T41" s="10">
        <v>0.58399999999999996</v>
      </c>
      <c r="U41" s="10">
        <v>5.0999999999999997E-2</v>
      </c>
      <c r="V41" s="10">
        <v>0.35599999999999998</v>
      </c>
      <c r="W41" s="10">
        <v>0.621</v>
      </c>
      <c r="X41" s="10">
        <v>8.0000000000000002E-3</v>
      </c>
      <c r="Y41" s="40">
        <f>Q41/P41</f>
        <v>1.4908616187989554</v>
      </c>
      <c r="Z41" s="40">
        <f>(Q41-R41)/(Summary!$P$55)*Summary!$P$57*(Summary!$P$58/Summary!$P$59)*10^3</f>
        <v>19.522105263157894</v>
      </c>
      <c r="AA41" s="15">
        <f>(Z41)/$M41</f>
        <v>18.592481203007516</v>
      </c>
      <c r="AB41" s="40">
        <f>T41/S41</f>
        <v>1.859872611464968</v>
      </c>
      <c r="AC41" s="40">
        <f>(T41-U41)/(Summary!$P$55)*Summary!$P$57*(Summary!$P$58/Summary!$P$59)*10^3</f>
        <v>18.514736842105261</v>
      </c>
      <c r="AD41" s="15">
        <f>(AC41)/$M41</f>
        <v>17.633082706766913</v>
      </c>
      <c r="AE41" s="40">
        <f>W41/V41</f>
        <v>1.7443820224719102</v>
      </c>
      <c r="AF41" s="40">
        <f>(W41-X41)/(Summary!$P$55)*Summary!$P$57*(Summary!$P$58/Summary!$P$59)*10^3</f>
        <v>21.293684210526315</v>
      </c>
      <c r="AG41" s="15">
        <f>(AF41)/$M41</f>
        <v>20.279699248120298</v>
      </c>
      <c r="AH41" s="41">
        <f t="shared" si="70"/>
        <v>1.6983720842452781</v>
      </c>
      <c r="AI41" s="41">
        <f t="shared" ref="AI41:AI43" si="80">AVERAGE(Z41,AC41,AF41)</f>
        <v>19.776842105263157</v>
      </c>
      <c r="AJ41" s="41">
        <f t="shared" si="72"/>
        <v>18.835087719298244</v>
      </c>
    </row>
    <row r="42" spans="1:36" s="8" customFormat="1" x14ac:dyDescent="0.35">
      <c r="A42" s="12">
        <v>43181</v>
      </c>
      <c r="B42" s="13">
        <v>0.3125</v>
      </c>
      <c r="C42" s="18" t="e">
        <f t="shared" ref="C42:C43" si="81">C41</f>
        <v>#REF!</v>
      </c>
      <c r="D42" s="7">
        <v>1.875</v>
      </c>
      <c r="E42" s="7">
        <v>1.8779999999999999</v>
      </c>
      <c r="F42" s="9">
        <f t="shared" si="78"/>
        <v>1.8765000000000001</v>
      </c>
      <c r="G42" s="9">
        <v>265</v>
      </c>
      <c r="H42" s="9"/>
      <c r="I42" s="9"/>
      <c r="J42" s="9"/>
      <c r="K42" s="9"/>
      <c r="L42" s="9">
        <v>5</v>
      </c>
      <c r="M42" s="9"/>
      <c r="N42" s="15">
        <f t="shared" ref="N42:N43" si="82">IF(M42&gt;0,((M42*G42)/400),((((M41+M43)/2)*G42)/400))</f>
        <v>0.70986875000000216</v>
      </c>
      <c r="O42" s="15">
        <f t="shared" si="79"/>
        <v>0.66249999999999998</v>
      </c>
      <c r="P42" s="10">
        <v>0.42699999999999999</v>
      </c>
      <c r="Q42" s="10">
        <v>0.59799999999999998</v>
      </c>
      <c r="R42" s="10">
        <v>0.04</v>
      </c>
      <c r="S42" s="10">
        <v>0.437</v>
      </c>
      <c r="T42" s="10">
        <v>0.65400000000000003</v>
      </c>
      <c r="U42" s="10">
        <v>2.1999999999999999E-2</v>
      </c>
      <c r="V42" s="10">
        <v>0.34799999999999998</v>
      </c>
      <c r="W42" s="10">
        <v>0.56799999999999995</v>
      </c>
      <c r="X42" s="10">
        <v>2.9000000000000001E-2</v>
      </c>
      <c r="Y42" s="40">
        <f t="shared" ref="Y42:Y43" si="83">Q42/P42</f>
        <v>1.4004683840749415</v>
      </c>
      <c r="Z42" s="40">
        <f>(Q42-R42)/(Summary!$P$55)*Summary!$P$57*(Summary!$P$58/Summary!$P$59)*10^3</f>
        <v>19.383157894736843</v>
      </c>
      <c r="AA42" s="15">
        <f>(Z42)/(AVERAGE($M41:$M43))</f>
        <v>18.089741385661956</v>
      </c>
      <c r="AB42" s="40">
        <f t="shared" ref="AB42:AB43" si="84">T42/S42</f>
        <v>1.4965675057208239</v>
      </c>
      <c r="AC42" s="40">
        <f>(T42-U42)/(Summary!$P$55)*Summary!$P$57*(Summary!$P$58/Summary!$P$59)*10^3</f>
        <v>21.953684210526315</v>
      </c>
      <c r="AD42" s="15">
        <f>(AC42)/(AVERAGE($M41:$M43))</f>
        <v>20.488739347201353</v>
      </c>
      <c r="AE42" s="40">
        <f t="shared" ref="AE42:AE43" si="85">W42/V42</f>
        <v>1.632183908045977</v>
      </c>
      <c r="AF42" s="40">
        <f>(W42-X42)/(Summary!$P$55)*Summary!$P$57*(Summary!$P$58/Summary!$P$59)*10^3</f>
        <v>18.72315789473684</v>
      </c>
      <c r="AG42" s="15">
        <f>(AF42)/(AVERAGE($M41:$M43))</f>
        <v>17.473782449591024</v>
      </c>
      <c r="AH42" s="41">
        <f t="shared" si="70"/>
        <v>1.509739932613914</v>
      </c>
      <c r="AI42" s="41">
        <f t="shared" si="80"/>
        <v>20.02</v>
      </c>
      <c r="AJ42" s="41">
        <f t="shared" si="72"/>
        <v>18.68408772748478</v>
      </c>
    </row>
    <row r="43" spans="1:36" s="8" customFormat="1" x14ac:dyDescent="0.35">
      <c r="A43" s="12">
        <v>43182</v>
      </c>
      <c r="B43" s="13">
        <v>0.3125</v>
      </c>
      <c r="C43" s="18" t="e">
        <f t="shared" si="81"/>
        <v>#REF!</v>
      </c>
      <c r="D43" s="7">
        <v>1.7849999999999999</v>
      </c>
      <c r="E43" s="7">
        <v>1.883</v>
      </c>
      <c r="F43" s="9">
        <f t="shared" si="78"/>
        <v>1.8340000000000001</v>
      </c>
      <c r="G43" s="9">
        <v>265.5</v>
      </c>
      <c r="H43" s="9">
        <v>1451.2</v>
      </c>
      <c r="I43" s="9">
        <v>1456.45</v>
      </c>
      <c r="J43" s="9">
        <v>1462.5</v>
      </c>
      <c r="K43" s="9">
        <v>1468.18</v>
      </c>
      <c r="L43" s="9">
        <v>5</v>
      </c>
      <c r="M43" s="9">
        <f t="shared" ref="M43" si="86">(((I43-H43)/L43)+((K43-J43)/L43))/2</f>
        <v>1.0930000000000064</v>
      </c>
      <c r="N43" s="15">
        <f t="shared" si="82"/>
        <v>0.72547875000000428</v>
      </c>
      <c r="O43" s="15">
        <f t="shared" si="79"/>
        <v>0.66374999999999995</v>
      </c>
      <c r="P43" s="10">
        <v>0.47699999999999998</v>
      </c>
      <c r="Q43" s="10">
        <v>0.48</v>
      </c>
      <c r="R43" s="10">
        <v>7.0000000000000001E-3</v>
      </c>
      <c r="S43" s="10">
        <v>0.29499999999999998</v>
      </c>
      <c r="T43" s="10">
        <v>0.56200000000000006</v>
      </c>
      <c r="U43" s="10">
        <v>1.9E-2</v>
      </c>
      <c r="V43" s="10">
        <v>0.31</v>
      </c>
      <c r="W43" s="10">
        <v>0.57999999999999996</v>
      </c>
      <c r="X43" s="10">
        <v>1.2E-2</v>
      </c>
      <c r="Y43" s="40">
        <f t="shared" si="83"/>
        <v>1.0062893081761006</v>
      </c>
      <c r="Z43" s="40">
        <f>(Q43-R43)/(Summary!$P$55)*Summary!$P$57*(Summary!$P$58/Summary!$P$59)*10^3</f>
        <v>16.430526315789471</v>
      </c>
      <c r="AA43" s="15">
        <f>(Z43)/$M43</f>
        <v>15.032503491115623</v>
      </c>
      <c r="AB43" s="40">
        <f t="shared" si="84"/>
        <v>1.9050847457627123</v>
      </c>
      <c r="AC43" s="40">
        <f>(T43-U43)/(Summary!$P$55)*Summary!$P$57*(Summary!$P$58/Summary!$P$59)*10^3</f>
        <v>18.8621052631579</v>
      </c>
      <c r="AD43" s="15">
        <f>(AC43)/$M43</f>
        <v>17.257186883035491</v>
      </c>
      <c r="AE43" s="40">
        <f t="shared" si="85"/>
        <v>1.8709677419354838</v>
      </c>
      <c r="AF43" s="40">
        <f>(W43-X43)/(Summary!$P$55)*Summary!$P$57*(Summary!$P$58/Summary!$P$59)*10^3</f>
        <v>19.730526315789472</v>
      </c>
      <c r="AG43" s="15">
        <f>(AF43)/$M43</f>
        <v>18.051716665864003</v>
      </c>
      <c r="AH43" s="41">
        <f t="shared" si="70"/>
        <v>1.594113931958099</v>
      </c>
      <c r="AI43" s="41">
        <f t="shared" si="80"/>
        <v>18.341052631578947</v>
      </c>
      <c r="AJ43" s="41">
        <f t="shared" si="72"/>
        <v>16.780469013338372</v>
      </c>
    </row>
  </sheetData>
  <mergeCells count="2">
    <mergeCell ref="H1:M1"/>
    <mergeCell ref="P1:A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3" sqref="F13"/>
    </sheetView>
  </sheetViews>
  <sheetFormatPr defaultColWidth="10.6640625" defaultRowHeight="15.5" x14ac:dyDescent="0.35"/>
  <cols>
    <col min="3" max="3" width="11.83203125" style="6" bestFit="1" customWidth="1"/>
  </cols>
  <sheetData>
    <row r="1" spans="1:36" s="19" customFormat="1" ht="27" customHeight="1" x14ac:dyDescent="0.35">
      <c r="A1" s="37" t="s">
        <v>13</v>
      </c>
      <c r="B1" s="37" t="s">
        <v>18</v>
      </c>
      <c r="C1" s="37" t="s">
        <v>4</v>
      </c>
      <c r="D1" s="37" t="s">
        <v>14</v>
      </c>
      <c r="E1" s="37" t="s">
        <v>15</v>
      </c>
      <c r="F1" s="37" t="s">
        <v>5</v>
      </c>
      <c r="G1" s="37" t="s">
        <v>16</v>
      </c>
      <c r="H1" s="87" t="s">
        <v>19</v>
      </c>
      <c r="I1" s="87"/>
      <c r="J1" s="87"/>
      <c r="K1" s="87"/>
      <c r="L1" s="87"/>
      <c r="M1" s="87"/>
      <c r="N1" s="38" t="s">
        <v>29</v>
      </c>
      <c r="O1" s="38" t="s">
        <v>27</v>
      </c>
      <c r="P1" s="88" t="s">
        <v>11</v>
      </c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</row>
    <row r="2" spans="1:36" s="19" customFormat="1" ht="46.5" x14ac:dyDescent="0.35">
      <c r="A2" s="21"/>
      <c r="B2" s="21"/>
      <c r="C2" s="21"/>
      <c r="D2" s="21"/>
      <c r="E2" s="21"/>
      <c r="F2" s="21"/>
      <c r="G2" s="21" t="s">
        <v>17</v>
      </c>
      <c r="H2" s="21" t="s">
        <v>20</v>
      </c>
      <c r="I2" s="21" t="s">
        <v>21</v>
      </c>
      <c r="J2" s="21" t="s">
        <v>22</v>
      </c>
      <c r="K2" s="21" t="s">
        <v>23</v>
      </c>
      <c r="L2" s="21" t="s">
        <v>24</v>
      </c>
      <c r="M2" s="22" t="s">
        <v>25</v>
      </c>
      <c r="N2" s="22" t="s">
        <v>26</v>
      </c>
      <c r="O2" s="22" t="s">
        <v>28</v>
      </c>
      <c r="P2" s="20" t="s">
        <v>31</v>
      </c>
      <c r="Q2" s="20" t="s">
        <v>30</v>
      </c>
      <c r="R2" s="20" t="s">
        <v>32</v>
      </c>
      <c r="S2" s="20" t="s">
        <v>33</v>
      </c>
      <c r="T2" s="20" t="s">
        <v>34</v>
      </c>
      <c r="U2" s="20" t="s">
        <v>15</v>
      </c>
      <c r="V2" s="20" t="s">
        <v>35</v>
      </c>
      <c r="W2" s="20" t="s">
        <v>36</v>
      </c>
      <c r="X2" s="20" t="s">
        <v>37</v>
      </c>
      <c r="Y2" s="21" t="s">
        <v>62</v>
      </c>
      <c r="Z2" s="21" t="s">
        <v>58</v>
      </c>
      <c r="AA2" s="21" t="s">
        <v>69</v>
      </c>
      <c r="AB2" s="21" t="s">
        <v>64</v>
      </c>
      <c r="AC2" s="21" t="s">
        <v>65</v>
      </c>
      <c r="AD2" s="21" t="s">
        <v>63</v>
      </c>
      <c r="AE2" s="21" t="s">
        <v>61</v>
      </c>
      <c r="AF2" s="21" t="s">
        <v>59</v>
      </c>
      <c r="AG2" s="21" t="s">
        <v>60</v>
      </c>
      <c r="AH2" s="21" t="s">
        <v>66</v>
      </c>
      <c r="AI2" s="21" t="s">
        <v>67</v>
      </c>
      <c r="AJ2" s="21" t="s">
        <v>68</v>
      </c>
    </row>
    <row r="3" spans="1:36" x14ac:dyDescent="0.35">
      <c r="A3" s="12">
        <v>43199</v>
      </c>
      <c r="B3" s="13">
        <v>0.35416666666666669</v>
      </c>
      <c r="C3" s="18">
        <v>20</v>
      </c>
      <c r="D3" s="7">
        <v>1.24</v>
      </c>
      <c r="E3" s="7">
        <v>1.218</v>
      </c>
      <c r="F3" s="9">
        <f t="shared" ref="F3:F5" si="0">AVERAGE(D3:E3)</f>
        <v>1.2290000000000001</v>
      </c>
      <c r="G3" s="9">
        <v>169</v>
      </c>
      <c r="H3" s="9">
        <v>1483.5</v>
      </c>
      <c r="I3" s="9">
        <v>1488.5</v>
      </c>
      <c r="J3" s="9">
        <v>1485.5</v>
      </c>
      <c r="K3" s="9">
        <v>1490.1</v>
      </c>
      <c r="L3" s="9">
        <v>5</v>
      </c>
      <c r="M3" s="9">
        <f>(((I3-H3)/L3)+((K3-J3)/L3))/2</f>
        <v>0.95999999999999086</v>
      </c>
      <c r="N3" s="15">
        <f>IF(M3&gt;0,((M3*G3)/400),((((#REF!+M4)/2)*G3)/400))</f>
        <v>0.40559999999999613</v>
      </c>
      <c r="O3" s="15">
        <f t="shared" ref="O3:O5" si="1">G3/400</f>
        <v>0.42249999999999999</v>
      </c>
      <c r="P3" s="10">
        <v>0.31900000000000001</v>
      </c>
      <c r="Q3" s="10">
        <v>0.58099999999999996</v>
      </c>
      <c r="R3" s="10">
        <v>2E-3</v>
      </c>
      <c r="S3" s="10">
        <v>0.39900000000000002</v>
      </c>
      <c r="T3" s="10">
        <v>0.60099999999999998</v>
      </c>
      <c r="U3" s="10">
        <v>2E-3</v>
      </c>
      <c r="V3" s="10">
        <v>0.45100000000000001</v>
      </c>
      <c r="W3" s="10">
        <v>0.58099999999999996</v>
      </c>
      <c r="X3" s="10">
        <v>3.0000000000000001E-3</v>
      </c>
      <c r="Y3" s="36">
        <f>Q3/P3</f>
        <v>1.8213166144200625</v>
      </c>
      <c r="Z3" s="36">
        <f>(Q3-R3)/(Summary!$P$55)*Summary!$P$57*(Summary!$P$58/Summary!$P$59)*10^3</f>
        <v>20.112631578947369</v>
      </c>
      <c r="AA3" s="11">
        <f>(Z3)/$M3</f>
        <v>20.950657894737041</v>
      </c>
      <c r="AB3" s="36">
        <f>T3/S3</f>
        <v>1.5062656641604009</v>
      </c>
      <c r="AC3" s="36">
        <f>(T3-U3)/(Summary!$P$55)*Summary!$P$57*(Summary!$P$58/Summary!$P$59)*10^3</f>
        <v>20.80736842105263</v>
      </c>
      <c r="AD3" s="11">
        <f>(AC3)/$M3</f>
        <v>21.674342105263364</v>
      </c>
      <c r="AE3" s="36">
        <f>W3/V3</f>
        <v>1.2882483370288247</v>
      </c>
      <c r="AF3" s="36">
        <f>(W3-X3)/(Summary!$P$55)*Summary!$P$57*(Summary!$P$58/Summary!$P$59)*10^3</f>
        <v>20.077894736842104</v>
      </c>
      <c r="AG3" s="11">
        <f>(AF3)/$M3</f>
        <v>20.914473684210723</v>
      </c>
      <c r="AH3" s="39">
        <f t="shared" ref="AH3:AH8" si="2">AVERAGE(Y3,AB3,AE3)</f>
        <v>1.5386102052030959</v>
      </c>
      <c r="AI3" s="39">
        <f t="shared" ref="AI3:AI5" si="3">AVERAGE(Z3,AC3,AF3)</f>
        <v>20.332631578947368</v>
      </c>
      <c r="AJ3" s="39">
        <f t="shared" ref="AJ3:AJ8" si="4">AVERAGE(AA3,AD3,AG3)</f>
        <v>21.179824561403709</v>
      </c>
    </row>
    <row r="4" spans="1:36" x14ac:dyDescent="0.35">
      <c r="A4" s="12">
        <v>43200</v>
      </c>
      <c r="B4" s="13">
        <v>0.33333333333333331</v>
      </c>
      <c r="C4" s="18">
        <v>20</v>
      </c>
      <c r="D4" s="7">
        <v>1.238</v>
      </c>
      <c r="E4" s="7">
        <v>1.256</v>
      </c>
      <c r="F4" s="9">
        <f t="shared" si="0"/>
        <v>1.2469999999999999</v>
      </c>
      <c r="G4" s="9">
        <v>164</v>
      </c>
      <c r="H4" s="9"/>
      <c r="I4" s="9"/>
      <c r="J4" s="9"/>
      <c r="K4" s="9"/>
      <c r="L4" s="9"/>
      <c r="M4" s="9"/>
      <c r="N4" s="15">
        <f t="shared" ref="N4" si="5">IF(M4&gt;0,((M4*G4)/400),((((M3+M5)/2)*G4)/400))</f>
        <v>0.40589999999999904</v>
      </c>
      <c r="O4" s="15">
        <f t="shared" si="1"/>
        <v>0.41</v>
      </c>
      <c r="P4" s="10">
        <v>0.38900000000000001</v>
      </c>
      <c r="Q4" s="10">
        <v>0.56699999999999995</v>
      </c>
      <c r="R4" s="10">
        <v>3.1E-2</v>
      </c>
      <c r="S4" s="10">
        <v>0.41</v>
      </c>
      <c r="T4" s="10">
        <v>0.58399999999999996</v>
      </c>
      <c r="U4" s="10">
        <v>0.03</v>
      </c>
      <c r="V4" s="10">
        <v>0.39500000000000002</v>
      </c>
      <c r="W4" s="10">
        <v>0.59099999999999997</v>
      </c>
      <c r="X4" s="10">
        <v>0.09</v>
      </c>
      <c r="Y4" s="36">
        <f t="shared" ref="Y4:Y5" si="6">Q4/P4</f>
        <v>1.4575835475578405</v>
      </c>
      <c r="Z4" s="36">
        <f>(Q4-R4)/(Summary!$P$55)*Summary!$P$57*(Summary!$P$58/Summary!$P$59)*10^3</f>
        <v>18.618947368421047</v>
      </c>
      <c r="AA4" s="11">
        <f>(Z4)/(AVERAGE($M3:$M5))</f>
        <v>18.807017543859686</v>
      </c>
      <c r="AB4" s="36">
        <f t="shared" ref="AB4:AB5" si="7">T4/S4</f>
        <v>1.424390243902439</v>
      </c>
      <c r="AC4" s="36">
        <f>(T4-U4)/(Summary!$P$55)*Summary!$P$57*(Summary!$P$58/Summary!$P$59)*10^3</f>
        <v>19.244210526315786</v>
      </c>
      <c r="AD4" s="11">
        <f>(AC4)/(AVERAGE($M3:$M5))</f>
        <v>19.438596491228115</v>
      </c>
      <c r="AE4" s="36">
        <f t="shared" ref="AE4:AE5" si="8">W4/V4</f>
        <v>1.4962025316455694</v>
      </c>
      <c r="AF4" s="36">
        <f>(W4-X4)/(Summary!$P$55)*Summary!$P$57*(Summary!$P$58/Summary!$P$59)*10^3</f>
        <v>17.403157894736843</v>
      </c>
      <c r="AG4" s="11">
        <f>(AF4)/(AVERAGE($M3:$M5))</f>
        <v>17.578947368421094</v>
      </c>
      <c r="AH4" s="39">
        <f t="shared" si="2"/>
        <v>1.4593921077019496</v>
      </c>
      <c r="AI4" s="39">
        <f t="shared" si="3"/>
        <v>18.422105263157892</v>
      </c>
      <c r="AJ4" s="39">
        <f t="shared" si="4"/>
        <v>18.608187134502966</v>
      </c>
    </row>
    <row r="5" spans="1:36" x14ac:dyDescent="0.35">
      <c r="A5" s="12">
        <v>43201</v>
      </c>
      <c r="B5" s="13">
        <v>0.33333333333333331</v>
      </c>
      <c r="C5" s="18">
        <v>20</v>
      </c>
      <c r="D5" s="7">
        <v>1.242</v>
      </c>
      <c r="E5" s="7">
        <v>1.262</v>
      </c>
      <c r="F5" s="9">
        <f t="shared" si="0"/>
        <v>1.252</v>
      </c>
      <c r="G5" s="9">
        <v>165</v>
      </c>
      <c r="H5" s="9">
        <v>1471.3</v>
      </c>
      <c r="I5" s="9">
        <v>1476</v>
      </c>
      <c r="J5" s="9">
        <v>1463.5</v>
      </c>
      <c r="K5" s="9">
        <v>1469</v>
      </c>
      <c r="L5" s="9">
        <v>5</v>
      </c>
      <c r="M5" s="9">
        <f>(((I5-H5)/L5)+((K5-J5)/L5))/2</f>
        <v>1.0200000000000045</v>
      </c>
      <c r="N5" s="15">
        <f>IF(M5&gt;0,((M5*G5)/400),((((M4+#REF!)/2)*G5)/400))</f>
        <v>0.42075000000000179</v>
      </c>
      <c r="O5" s="15">
        <f t="shared" si="1"/>
        <v>0.41249999999999998</v>
      </c>
      <c r="P5" s="10">
        <v>0.46899999999999997</v>
      </c>
      <c r="Q5" s="10">
        <v>0.54400000000000004</v>
      </c>
      <c r="R5" s="10">
        <v>4.2000000000000003E-2</v>
      </c>
      <c r="S5" s="10">
        <v>0.43099999999999999</v>
      </c>
      <c r="T5" s="10">
        <v>0.58599999999999997</v>
      </c>
      <c r="U5" s="10">
        <v>0.02</v>
      </c>
      <c r="V5" s="10">
        <v>0.374</v>
      </c>
      <c r="W5" s="10">
        <v>0.621</v>
      </c>
      <c r="X5" s="10">
        <v>4.2999999999999997E-2</v>
      </c>
      <c r="Y5" s="36">
        <f t="shared" si="6"/>
        <v>1.1599147121535183</v>
      </c>
      <c r="Z5" s="36">
        <f>(Q5-R5)/(Summary!$P$55)*Summary!$P$57*(Summary!$P$58/Summary!$P$59)*10^3</f>
        <v>17.437894736842104</v>
      </c>
      <c r="AA5" s="11">
        <f>(Z5)/$M5</f>
        <v>17.095975232198064</v>
      </c>
      <c r="AB5" s="36">
        <f t="shared" si="7"/>
        <v>1.3596287703016241</v>
      </c>
      <c r="AC5" s="36">
        <f>(T5-U5)/(Summary!$P$55)*Summary!$P$57*(Summary!$P$58/Summary!$P$59)*10^3</f>
        <v>19.661052631578944</v>
      </c>
      <c r="AD5" s="11">
        <f>(AC5)/$M5</f>
        <v>19.275541795665546</v>
      </c>
      <c r="AE5" s="36">
        <f t="shared" si="8"/>
        <v>1.660427807486631</v>
      </c>
      <c r="AF5" s="36">
        <f>(W5-X5)/(Summary!$P$55)*Summary!$P$57*(Summary!$P$58/Summary!$P$59)*10^3</f>
        <v>20.077894736842104</v>
      </c>
      <c r="AG5" s="11">
        <f>(AF5)/$M5</f>
        <v>19.684210526315702</v>
      </c>
      <c r="AH5" s="39">
        <f t="shared" si="2"/>
        <v>1.3933237633139244</v>
      </c>
      <c r="AI5" s="39">
        <f t="shared" si="3"/>
        <v>19.058947368421052</v>
      </c>
      <c r="AJ5" s="39">
        <f t="shared" si="4"/>
        <v>18.68524251805977</v>
      </c>
    </row>
    <row r="6" spans="1:36" x14ac:dyDescent="0.35">
      <c r="A6" s="12">
        <v>43199</v>
      </c>
      <c r="B6" s="13">
        <v>0.35416666666666669</v>
      </c>
      <c r="C6" s="18">
        <v>20</v>
      </c>
      <c r="D6" s="7">
        <v>1.28</v>
      </c>
      <c r="E6" s="7">
        <v>1.198</v>
      </c>
      <c r="F6" s="9">
        <f t="shared" ref="F6:F12" si="9">AVERAGE(D6:E6)</f>
        <v>1.2389999999999999</v>
      </c>
      <c r="G6" s="9">
        <v>155</v>
      </c>
      <c r="H6" s="9">
        <v>1468.7</v>
      </c>
      <c r="I6" s="9">
        <v>1473.4</v>
      </c>
      <c r="J6" s="9">
        <v>1483.7</v>
      </c>
      <c r="K6" s="9">
        <v>1488.5</v>
      </c>
      <c r="L6" s="9">
        <v>5</v>
      </c>
      <c r="M6" s="9">
        <f>(((I6-H6)/L6)+((K6-J6)/L6))/2</f>
        <v>0.95</v>
      </c>
      <c r="N6" s="15">
        <f>IF(M6&gt;0,((M6*G6)/400),((((#REF!+M7)/2)*G6)/400))</f>
        <v>0.36812499999999998</v>
      </c>
      <c r="O6" s="15">
        <f t="shared" ref="O6:O12" si="10">G6/400</f>
        <v>0.38750000000000001</v>
      </c>
      <c r="P6" s="10">
        <v>0.307</v>
      </c>
      <c r="Q6" s="10">
        <v>0.58399999999999996</v>
      </c>
      <c r="R6" s="10">
        <v>1E-3</v>
      </c>
      <c r="S6" s="10">
        <v>0.3</v>
      </c>
      <c r="T6" s="10">
        <v>0.53100000000000003</v>
      </c>
      <c r="U6" s="10">
        <v>3.0000000000000001E-3</v>
      </c>
      <c r="V6" s="10">
        <v>0.314</v>
      </c>
      <c r="W6" s="10">
        <v>0.54</v>
      </c>
      <c r="X6" s="10">
        <v>2E-3</v>
      </c>
      <c r="Y6" s="36">
        <f>Q6/P6</f>
        <v>1.9022801302931596</v>
      </c>
      <c r="Z6" s="36">
        <f>(Q6-R6)/(Summary!$P$55)*Summary!$P$57*(Summary!$P$58/Summary!$P$59)*10^3</f>
        <v>20.251578947368419</v>
      </c>
      <c r="AA6" s="11">
        <f>(Z6)/$M6</f>
        <v>21.317451523545706</v>
      </c>
      <c r="AB6" s="36">
        <f>T6/S6</f>
        <v>1.7700000000000002</v>
      </c>
      <c r="AC6" s="36">
        <f>(T6-U6)/(Summary!$P$55)*Summary!$P$57*(Summary!$P$58/Summary!$P$59)*10^3</f>
        <v>18.34105263157895</v>
      </c>
      <c r="AD6" s="11">
        <f>(AC6)/$M6</f>
        <v>19.306371191135739</v>
      </c>
      <c r="AE6" s="36">
        <f>W6/V6</f>
        <v>1.7197452229299364</v>
      </c>
      <c r="AF6" s="36">
        <f>(W6-X6)/(Summary!$P$55)*Summary!$P$57*(Summary!$P$58/Summary!$P$59)*10^3</f>
        <v>18.688421052631579</v>
      </c>
      <c r="AG6" s="11">
        <f>(AF6)/$M6</f>
        <v>19.67202216066482</v>
      </c>
      <c r="AH6" s="39">
        <f t="shared" si="2"/>
        <v>1.7973417844076989</v>
      </c>
      <c r="AI6" s="39">
        <f t="shared" ref="AI6:AI8" si="11">AVERAGE(Z6,AC6,AF6)</f>
        <v>19.093684210526316</v>
      </c>
      <c r="AJ6" s="39">
        <f t="shared" si="4"/>
        <v>20.098614958448753</v>
      </c>
    </row>
    <row r="7" spans="1:36" x14ac:dyDescent="0.35">
      <c r="A7" s="12">
        <v>43200</v>
      </c>
      <c r="B7" s="13">
        <v>0.33333333333333331</v>
      </c>
      <c r="C7" s="18">
        <v>20</v>
      </c>
      <c r="D7" s="7">
        <v>1.24</v>
      </c>
      <c r="E7" s="7">
        <v>1.284</v>
      </c>
      <c r="F7" s="9">
        <f t="shared" si="9"/>
        <v>1.262</v>
      </c>
      <c r="G7" s="9">
        <v>159</v>
      </c>
      <c r="H7" s="9"/>
      <c r="I7" s="9"/>
      <c r="J7" s="9"/>
      <c r="K7" s="9"/>
      <c r="L7" s="9"/>
      <c r="M7" s="9"/>
      <c r="N7" s="15">
        <f t="shared" ref="N7:N8" si="12">IF(M7&gt;0,((M7*G7)/400),((((M6+M8)/2)*G7)/400))</f>
        <v>0.38557499999999728</v>
      </c>
      <c r="O7" s="15">
        <f t="shared" si="10"/>
        <v>0.39750000000000002</v>
      </c>
      <c r="P7" s="10">
        <v>0.33800000000000002</v>
      </c>
      <c r="Q7" s="10">
        <v>0.51600000000000001</v>
      </c>
      <c r="R7" s="10">
        <v>1.9E-2</v>
      </c>
      <c r="S7" s="10">
        <v>0.33700000000000002</v>
      </c>
      <c r="T7" s="10">
        <v>0.53200000000000003</v>
      </c>
      <c r="U7" s="10">
        <v>1.7000000000000001E-2</v>
      </c>
      <c r="V7" s="10">
        <v>0.32600000000000001</v>
      </c>
      <c r="W7" s="10">
        <v>0.59799999999999998</v>
      </c>
      <c r="X7" s="10">
        <v>1.4E-2</v>
      </c>
      <c r="Y7" s="36">
        <f t="shared" ref="Y7:Y8" si="13">Q7/P7</f>
        <v>1.5266272189349113</v>
      </c>
      <c r="Z7" s="36">
        <f>(Q7-R7)/(Summary!$P$55)*Summary!$P$57*(Summary!$P$58/Summary!$P$59)*10^3</f>
        <v>17.264210526315789</v>
      </c>
      <c r="AA7" s="11">
        <f>(Z7)/(AVERAGE($M6:$M8))</f>
        <v>17.798155181768983</v>
      </c>
      <c r="AB7" s="36">
        <f t="shared" ref="AB7:AB8" si="14">T7/S7</f>
        <v>1.5786350148367951</v>
      </c>
      <c r="AC7" s="36">
        <f>(T7-U7)/(Summary!$P$55)*Summary!$P$57*(Summary!$P$58/Summary!$P$59)*10^3</f>
        <v>17.889473684210529</v>
      </c>
      <c r="AD7" s="11">
        <f>(AC7)/(AVERAGE($M6:$M8))</f>
        <v>18.442756375474904</v>
      </c>
      <c r="AE7" s="36">
        <f t="shared" ref="AE7:AE8" si="15">W7/V7</f>
        <v>1.8343558282208587</v>
      </c>
      <c r="AF7" s="36">
        <f>(W7-X7)/(Summary!$P$55)*Summary!$P$57*(Summary!$P$58/Summary!$P$59)*10^3</f>
        <v>20.286315789473683</v>
      </c>
      <c r="AG7" s="11">
        <f>(AF7)/(AVERAGE($M6:$M8))</f>
        <v>20.913727618014256</v>
      </c>
      <c r="AH7" s="39">
        <f t="shared" si="2"/>
        <v>1.6465393539975217</v>
      </c>
      <c r="AI7" s="39">
        <f t="shared" si="11"/>
        <v>18.48</v>
      </c>
      <c r="AJ7" s="39">
        <f t="shared" si="4"/>
        <v>19.051546391752716</v>
      </c>
    </row>
    <row r="8" spans="1:36" x14ac:dyDescent="0.35">
      <c r="A8" s="12">
        <v>43201</v>
      </c>
      <c r="B8" s="13">
        <v>0.33333333333333331</v>
      </c>
      <c r="C8" s="18">
        <v>20</v>
      </c>
      <c r="D8" s="7">
        <v>1.254</v>
      </c>
      <c r="E8" s="7">
        <v>1.26</v>
      </c>
      <c r="F8" s="9">
        <f t="shared" si="9"/>
        <v>1.2570000000000001</v>
      </c>
      <c r="G8" s="9">
        <v>154</v>
      </c>
      <c r="H8" s="9">
        <v>1462.9</v>
      </c>
      <c r="I8" s="9">
        <v>1467.8</v>
      </c>
      <c r="J8" s="9">
        <v>1483.8</v>
      </c>
      <c r="K8" s="9">
        <v>1488.8</v>
      </c>
      <c r="L8" s="9">
        <v>5</v>
      </c>
      <c r="M8" s="9">
        <f>(((I8-H8)/L8)+((K8-J8)/L8))/2</f>
        <v>0.98999999999998634</v>
      </c>
      <c r="N8" s="15">
        <f t="shared" si="12"/>
        <v>0.38114999999999477</v>
      </c>
      <c r="O8" s="15">
        <f t="shared" si="10"/>
        <v>0.38500000000000001</v>
      </c>
      <c r="P8" s="10">
        <v>0.28799999999999998</v>
      </c>
      <c r="Q8" s="10">
        <v>0.61399999999999999</v>
      </c>
      <c r="R8" s="10">
        <v>3.2000000000000001E-2</v>
      </c>
      <c r="S8" s="10">
        <v>0.32100000000000001</v>
      </c>
      <c r="T8" s="10">
        <v>0.59799999999999998</v>
      </c>
      <c r="U8" s="10">
        <v>3.5000000000000003E-2</v>
      </c>
      <c r="V8" s="10">
        <v>0.34599999999999997</v>
      </c>
      <c r="W8" s="10">
        <v>0.621</v>
      </c>
      <c r="X8" s="10">
        <v>2.7E-2</v>
      </c>
      <c r="Y8" s="36">
        <f t="shared" si="13"/>
        <v>2.1319444444444446</v>
      </c>
      <c r="Z8" s="36">
        <f>(Q8-R8)/(Summary!$P$55)*Summary!$P$57*(Summary!$P$58/Summary!$P$59)*10^3</f>
        <v>20.216842105263158</v>
      </c>
      <c r="AA8" s="11">
        <f>(Z8)/$M8</f>
        <v>20.421052631579229</v>
      </c>
      <c r="AB8" s="36">
        <f t="shared" si="14"/>
        <v>1.8629283489096573</v>
      </c>
      <c r="AC8" s="36">
        <f>(T8-U8)/(Summary!$P$55)*Summary!$P$57*(Summary!$P$58/Summary!$P$59)*10^3</f>
        <v>19.556842105263158</v>
      </c>
      <c r="AD8" s="11">
        <f>(AC8)/$M8</f>
        <v>19.754385964912554</v>
      </c>
      <c r="AE8" s="36">
        <f t="shared" si="15"/>
        <v>1.7947976878612717</v>
      </c>
      <c r="AF8" s="36">
        <f>(W8-X8)/(Summary!$P$55)*Summary!$P$57*(Summary!$P$58/Summary!$P$59)*10^3</f>
        <v>20.633684210526315</v>
      </c>
      <c r="AG8" s="11">
        <f>(AF8)/$M8</f>
        <v>20.842105263158182</v>
      </c>
      <c r="AH8" s="39">
        <f t="shared" si="2"/>
        <v>1.9298901604051244</v>
      </c>
      <c r="AI8" s="39">
        <f t="shared" si="11"/>
        <v>20.135789473684209</v>
      </c>
      <c r="AJ8" s="39">
        <f t="shared" si="4"/>
        <v>20.339181286549991</v>
      </c>
    </row>
    <row r="9" spans="1:36" s="16" customFormat="1" x14ac:dyDescent="0.35">
      <c r="C9" s="17"/>
    </row>
    <row r="10" spans="1:36" x14ac:dyDescent="0.35">
      <c r="A10" s="12">
        <v>43191</v>
      </c>
      <c r="B10" s="13">
        <v>0.35416666666666669</v>
      </c>
      <c r="C10" s="18">
        <v>25</v>
      </c>
      <c r="D10" s="7">
        <v>1.7</v>
      </c>
      <c r="E10" s="7">
        <v>1.68</v>
      </c>
      <c r="F10" s="9">
        <f t="shared" si="9"/>
        <v>1.69</v>
      </c>
      <c r="G10" s="9">
        <v>320</v>
      </c>
      <c r="H10" s="9">
        <v>1463.8</v>
      </c>
      <c r="I10" s="9">
        <v>1469</v>
      </c>
      <c r="J10" s="9">
        <v>1478.2</v>
      </c>
      <c r="K10" s="9">
        <v>1483.3</v>
      </c>
      <c r="L10" s="9">
        <v>5</v>
      </c>
      <c r="M10" s="9">
        <f>(((I10-H10)/L10)+((K10-J10)/L10))/2</f>
        <v>1.0299999999999954</v>
      </c>
      <c r="N10" s="15">
        <f>IF(M10&gt;0,((M10*G10)/400),((((#REF!+M11)/2)*G10)/400))</f>
        <v>0.8239999999999964</v>
      </c>
      <c r="O10" s="15">
        <f t="shared" si="10"/>
        <v>0.8</v>
      </c>
      <c r="P10" s="10">
        <v>0.38600000000000001</v>
      </c>
      <c r="Q10" s="10">
        <v>0.751</v>
      </c>
      <c r="R10" s="10">
        <v>0.02</v>
      </c>
      <c r="S10" s="10">
        <v>0.374</v>
      </c>
      <c r="T10" s="10">
        <v>0.74199999999999999</v>
      </c>
      <c r="U10" s="10">
        <v>8.9999999999999993E-3</v>
      </c>
      <c r="V10" s="10">
        <v>0.38800000000000001</v>
      </c>
      <c r="W10" s="10">
        <v>0.76800000000000002</v>
      </c>
      <c r="X10" s="10">
        <v>2.1999999999999999E-2</v>
      </c>
      <c r="Y10" s="36">
        <f>Q10/P10</f>
        <v>1.9455958549222798</v>
      </c>
      <c r="Z10" s="36">
        <f>(Q10-R10)/(Summary!$P$55)*Summary!$P$57*(Summary!$P$58/Summary!$P$59)*10^3</f>
        <v>25.39263157894737</v>
      </c>
      <c r="AA10" s="11">
        <f>(Z10)/$M10</f>
        <v>24.653040367910179</v>
      </c>
      <c r="AB10" s="36">
        <f>T10/S10</f>
        <v>1.9839572192513368</v>
      </c>
      <c r="AC10" s="36">
        <f>(T10-U10)/(Summary!$P$55)*Summary!$P$57*(Summary!$P$58/Summary!$P$59)*10^3</f>
        <v>25.462105263157895</v>
      </c>
      <c r="AD10" s="11">
        <f>(AC10)/$M10</f>
        <v>24.72049054675535</v>
      </c>
      <c r="AE10" s="36">
        <f>W10/V10</f>
        <v>1.9793814432989691</v>
      </c>
      <c r="AF10" s="36">
        <f>(W10-X10)/(Summary!$P$55)*Summary!$P$57*(Summary!$P$58/Summary!$P$59)*10^3</f>
        <v>25.913684210526316</v>
      </c>
      <c r="AG10" s="11">
        <f>(AF10)/$M10</f>
        <v>25.158916709248963</v>
      </c>
      <c r="AH10" s="39">
        <f t="shared" ref="AH10:AH15" si="16">AVERAGE(Y10,AB10,AE10)</f>
        <v>1.9696448391575287</v>
      </c>
      <c r="AI10" s="39">
        <f t="shared" ref="AI10:AI12" si="17">AVERAGE(Z10,AC10,AF10)</f>
        <v>25.589473684210528</v>
      </c>
      <c r="AJ10" s="39">
        <f t="shared" ref="AJ10:AJ15" si="18">AVERAGE(AA10,AD10,AG10)</f>
        <v>24.844149207971498</v>
      </c>
    </row>
    <row r="11" spans="1:36" x14ac:dyDescent="0.35">
      <c r="A11" s="12">
        <v>43192</v>
      </c>
      <c r="B11" s="13">
        <v>0.33333333333333331</v>
      </c>
      <c r="C11" s="18">
        <v>25</v>
      </c>
      <c r="D11" s="7">
        <v>1.69</v>
      </c>
      <c r="E11" s="7">
        <v>1.71</v>
      </c>
      <c r="F11" s="9">
        <f t="shared" si="9"/>
        <v>1.7</v>
      </c>
      <c r="G11" s="9">
        <v>315</v>
      </c>
      <c r="H11" s="9"/>
      <c r="I11" s="9"/>
      <c r="J11" s="9"/>
      <c r="K11" s="9"/>
      <c r="L11" s="9"/>
      <c r="M11" s="9"/>
      <c r="N11" s="15">
        <f t="shared" ref="N11" si="19">IF(M11&gt;0,((M11*G11)/400),((((M10+M12)/2)*G11)/400))</f>
        <v>0.80325000000000357</v>
      </c>
      <c r="O11" s="15">
        <f t="shared" si="10"/>
        <v>0.78749999999999998</v>
      </c>
      <c r="P11" s="10">
        <v>0.40200000000000002</v>
      </c>
      <c r="Q11" s="10">
        <v>0.79100000000000004</v>
      </c>
      <c r="R11" s="10">
        <v>1.6E-2</v>
      </c>
      <c r="S11" s="10">
        <v>0.36799999999999999</v>
      </c>
      <c r="T11" s="10">
        <v>0.71399999999999997</v>
      </c>
      <c r="U11" s="10">
        <v>1.4E-2</v>
      </c>
      <c r="V11" s="10">
        <v>0.379</v>
      </c>
      <c r="W11" s="10">
        <v>0.754</v>
      </c>
      <c r="X11" s="10">
        <v>2.4E-2</v>
      </c>
      <c r="Y11" s="36">
        <f t="shared" ref="Y11:Y12" si="20">Q11/P11</f>
        <v>1.9676616915422884</v>
      </c>
      <c r="Z11" s="36">
        <f>(Q11-R11)/(Summary!$P$55)*Summary!$P$57*(Summary!$P$58/Summary!$P$59)*10^3</f>
        <v>26.921052631578949</v>
      </c>
      <c r="AA11" s="11">
        <f>(Z11)/(AVERAGE($M10:$M12))</f>
        <v>26.39318885448905</v>
      </c>
      <c r="AB11" s="36">
        <f t="shared" ref="AB11:AB12" si="21">T11/S11</f>
        <v>1.9402173913043477</v>
      </c>
      <c r="AC11" s="36">
        <f>(T11-U11)/(Summary!$P$55)*Summary!$P$57*(Summary!$P$58/Summary!$P$59)*10^3</f>
        <v>24.315789473684209</v>
      </c>
      <c r="AD11" s="11">
        <f>(AC11)/(AVERAGE($M10:$M12))</f>
        <v>23.839009287925592</v>
      </c>
      <c r="AE11" s="36">
        <f t="shared" ref="AE11:AE12" si="22">W11/V11</f>
        <v>1.9894459102902375</v>
      </c>
      <c r="AF11" s="36">
        <f>(W11-X11)/(Summary!$P$55)*Summary!$P$57*(Summary!$P$58/Summary!$P$59)*10^3</f>
        <v>25.357894736842102</v>
      </c>
      <c r="AG11" s="11">
        <f>(AF11)/(AVERAGE($M10:$M12))</f>
        <v>24.860681114550971</v>
      </c>
      <c r="AH11" s="39">
        <f t="shared" si="16"/>
        <v>1.9657749977122911</v>
      </c>
      <c r="AI11" s="39">
        <f t="shared" si="17"/>
        <v>25.53157894736842</v>
      </c>
      <c r="AJ11" s="39">
        <f t="shared" si="18"/>
        <v>25.030959752321873</v>
      </c>
    </row>
    <row r="12" spans="1:36" x14ac:dyDescent="0.35">
      <c r="A12" s="12">
        <v>43193</v>
      </c>
      <c r="B12" s="13">
        <v>0.33333333333333331</v>
      </c>
      <c r="C12" s="18">
        <v>25</v>
      </c>
      <c r="D12" s="7">
        <v>1.68</v>
      </c>
      <c r="E12" s="7">
        <v>1.7</v>
      </c>
      <c r="F12" s="9">
        <f t="shared" si="9"/>
        <v>1.69</v>
      </c>
      <c r="G12" s="9">
        <v>318</v>
      </c>
      <c r="H12" s="9">
        <v>1486.1</v>
      </c>
      <c r="I12" s="9">
        <v>1491.7</v>
      </c>
      <c r="J12" s="9">
        <v>1468</v>
      </c>
      <c r="K12" s="9">
        <v>1472.5</v>
      </c>
      <c r="L12" s="9">
        <v>5</v>
      </c>
      <c r="M12" s="9">
        <f>(((I12-H12)/L12)+((K12-J12)/L12))/2</f>
        <v>1.0100000000000136</v>
      </c>
      <c r="N12" s="15">
        <f>IF(M12&gt;0,((M12*G12)/400),((((M11+#REF!)/2)*G12)/400))</f>
        <v>0.80295000000001082</v>
      </c>
      <c r="O12" s="15">
        <f t="shared" si="10"/>
        <v>0.79500000000000004</v>
      </c>
      <c r="P12" s="10">
        <v>0.41</v>
      </c>
      <c r="Q12" s="10">
        <v>0.80300000000000005</v>
      </c>
      <c r="R12" s="10">
        <v>1.0999999999999999E-2</v>
      </c>
      <c r="S12" s="10">
        <v>0.38400000000000001</v>
      </c>
      <c r="T12" s="10">
        <v>0.72399999999999998</v>
      </c>
      <c r="U12" s="10">
        <v>4.0000000000000001E-3</v>
      </c>
      <c r="V12" s="10">
        <v>0.371</v>
      </c>
      <c r="W12" s="10">
        <v>0.75900000000000001</v>
      </c>
      <c r="X12" s="10">
        <v>3.3000000000000002E-2</v>
      </c>
      <c r="Y12" s="36">
        <f t="shared" si="20"/>
        <v>1.9585365853658538</v>
      </c>
      <c r="Z12" s="36">
        <f>(Q12-R12)/(Summary!$P$55)*Summary!$P$57*(Summary!$P$58/Summary!$P$59)*10^3</f>
        <v>27.51157894736842</v>
      </c>
      <c r="AA12" s="11">
        <f>(Z12)/$M12</f>
        <v>27.239187076602029</v>
      </c>
      <c r="AB12" s="36">
        <f t="shared" si="21"/>
        <v>1.8854166666666665</v>
      </c>
      <c r="AC12" s="36">
        <f>(T12-U12)/(Summary!$P$55)*Summary!$P$57*(Summary!$P$58/Summary!$P$59)*10^3</f>
        <v>25.010526315789473</v>
      </c>
      <c r="AD12" s="11">
        <f>(AC12)/$M12</f>
        <v>24.762897342365484</v>
      </c>
      <c r="AE12" s="36">
        <f t="shared" si="22"/>
        <v>2.045822102425876</v>
      </c>
      <c r="AF12" s="36">
        <f>(W12-X12)/(Summary!$P$55)*Summary!$P$57*(Summary!$P$58/Summary!$P$59)*10^3</f>
        <v>25.218947368421052</v>
      </c>
      <c r="AG12" s="11">
        <f>(AF12)/$M12</f>
        <v>24.969254820218527</v>
      </c>
      <c r="AH12" s="39">
        <f t="shared" si="16"/>
        <v>1.963258451486132</v>
      </c>
      <c r="AI12" s="39">
        <f t="shared" si="17"/>
        <v>25.913684210526316</v>
      </c>
      <c r="AJ12" s="39">
        <f t="shared" si="18"/>
        <v>25.657113079728678</v>
      </c>
    </row>
    <row r="13" spans="1:36" x14ac:dyDescent="0.35">
      <c r="A13" s="12">
        <v>43191</v>
      </c>
      <c r="B13" s="13">
        <v>0.35416666666666669</v>
      </c>
      <c r="C13" s="18">
        <v>25</v>
      </c>
      <c r="D13" s="7">
        <v>1.49</v>
      </c>
      <c r="E13" s="7">
        <v>1.5</v>
      </c>
      <c r="F13" s="9">
        <f t="shared" ref="F13:F36" si="23">AVERAGE(D13:E13)</f>
        <v>1.4950000000000001</v>
      </c>
      <c r="G13" s="9">
        <v>308</v>
      </c>
      <c r="H13" s="9">
        <v>1486.1</v>
      </c>
      <c r="I13" s="9">
        <v>1490</v>
      </c>
      <c r="J13" s="9">
        <v>1484.2</v>
      </c>
      <c r="K13" s="9">
        <v>1490.9</v>
      </c>
      <c r="L13" s="9">
        <v>5</v>
      </c>
      <c r="M13" s="9">
        <f>(((I13-H13)/L13)+((K13-J13)/L13))/2</f>
        <v>1.0600000000000138</v>
      </c>
      <c r="N13" s="15">
        <f>IF(M13&gt;0,((M13*G13)/400),((((#REF!+M14)/2)*G13)/400))</f>
        <v>0.81620000000001069</v>
      </c>
      <c r="O13" s="15">
        <f t="shared" ref="O13:O26" si="24">G13/400</f>
        <v>0.77</v>
      </c>
      <c r="P13" s="10">
        <v>0.45500000000000002</v>
      </c>
      <c r="Q13" s="10">
        <v>0.77200000000000002</v>
      </c>
      <c r="R13" s="10">
        <v>1.9E-2</v>
      </c>
      <c r="S13" s="10">
        <v>0.376</v>
      </c>
      <c r="T13" s="10">
        <v>0.78500000000000003</v>
      </c>
      <c r="U13" s="10">
        <v>7.0000000000000001E-3</v>
      </c>
      <c r="V13" s="10">
        <v>0.37</v>
      </c>
      <c r="W13" s="10">
        <v>0.75800000000000001</v>
      </c>
      <c r="X13" s="10">
        <v>0.02</v>
      </c>
      <c r="Y13" s="36">
        <f>Q13/P13</f>
        <v>1.6967032967032967</v>
      </c>
      <c r="Z13" s="36">
        <f>(Q13-R13)/(Summary!$P$55)*Summary!$P$57*(Summary!$P$58/Summary!$P$59)*10^3</f>
        <v>26.156842105263156</v>
      </c>
      <c r="AA13" s="11">
        <f>(Z13)/$M13</f>
        <v>24.67626613704039</v>
      </c>
      <c r="AB13" s="36">
        <f>T13/S13</f>
        <v>2.0877659574468086</v>
      </c>
      <c r="AC13" s="36">
        <f>(T13-U13)/(Summary!$P$55)*Summary!$P$57*(Summary!$P$58/Summary!$P$59)*10^3</f>
        <v>27.025263157894738</v>
      </c>
      <c r="AD13" s="11">
        <f>(AC13)/$M13</f>
        <v>25.495531281032438</v>
      </c>
      <c r="AE13" s="36">
        <f>W13/V13</f>
        <v>2.0486486486486486</v>
      </c>
      <c r="AF13" s="36">
        <f>(W13-X13)/(Summary!$P$55)*Summary!$P$57*(Summary!$P$58/Summary!$P$59)*10^3</f>
        <v>25.635789473684209</v>
      </c>
      <c r="AG13" s="11">
        <f>(AF13)/$M13</f>
        <v>24.184707050645166</v>
      </c>
      <c r="AH13" s="39">
        <f t="shared" si="16"/>
        <v>1.9443726342662513</v>
      </c>
      <c r="AI13" s="39">
        <f t="shared" ref="AI13:AI15" si="25">AVERAGE(Z13,AC13,AF13)</f>
        <v>26.272631578947369</v>
      </c>
      <c r="AJ13" s="39">
        <f t="shared" si="18"/>
        <v>24.785501489572663</v>
      </c>
    </row>
    <row r="14" spans="1:36" x14ac:dyDescent="0.35">
      <c r="A14" s="12">
        <v>43192</v>
      </c>
      <c r="B14" s="13">
        <v>0.33333333333333331</v>
      </c>
      <c r="C14" s="18">
        <v>25</v>
      </c>
      <c r="D14" s="7">
        <v>1.46</v>
      </c>
      <c r="E14" s="7">
        <v>1.47</v>
      </c>
      <c r="F14" s="9">
        <f t="shared" si="23"/>
        <v>1.4649999999999999</v>
      </c>
      <c r="G14" s="9">
        <v>300</v>
      </c>
      <c r="H14" s="9"/>
      <c r="I14" s="9"/>
      <c r="J14" s="9"/>
      <c r="K14" s="9"/>
      <c r="L14" s="9"/>
      <c r="M14" s="9"/>
      <c r="N14" s="15">
        <f t="shared" ref="N14" si="26">IF(M14&gt;0,((M14*G14)/400),((((M13+M15)/2)*G14)/400))</f>
        <v>0.78750000000000853</v>
      </c>
      <c r="O14" s="15">
        <f t="shared" si="24"/>
        <v>0.75</v>
      </c>
      <c r="P14" s="10">
        <v>0.38700000000000001</v>
      </c>
      <c r="Q14" s="10">
        <v>0.76600000000000001</v>
      </c>
      <c r="R14" s="10">
        <v>1.2999999999999999E-2</v>
      </c>
      <c r="S14" s="10">
        <v>0.38700000000000001</v>
      </c>
      <c r="T14" s="10">
        <v>0.73399999999999999</v>
      </c>
      <c r="U14" s="10">
        <v>0.02</v>
      </c>
      <c r="V14" s="10">
        <v>0.34200000000000003</v>
      </c>
      <c r="W14" s="10">
        <v>0.75900000000000001</v>
      </c>
      <c r="X14" s="10">
        <v>2.4E-2</v>
      </c>
      <c r="Y14" s="36">
        <f t="shared" ref="Y14:Y15" si="27">Q14/P14</f>
        <v>1.979328165374677</v>
      </c>
      <c r="Z14" s="36">
        <f>(Q14-R14)/(Summary!$P$55)*Summary!$P$57*(Summary!$P$58/Summary!$P$59)*10^3</f>
        <v>26.156842105263156</v>
      </c>
      <c r="AA14" s="11">
        <f>(Z14)/(AVERAGE($M13:$M15))</f>
        <v>24.91127819548845</v>
      </c>
      <c r="AB14" s="36">
        <f t="shared" ref="AB14:AB15" si="28">T14/S14</f>
        <v>1.896640826873385</v>
      </c>
      <c r="AC14" s="36">
        <f>(T14-U14)/(Summary!$P$55)*Summary!$P$57*(Summary!$P$58/Summary!$P$59)*10^3</f>
        <v>24.802105263157891</v>
      </c>
      <c r="AD14" s="11">
        <f>(AC14)/(AVERAGE($M13:$M15))</f>
        <v>23.621052631578689</v>
      </c>
      <c r="AE14" s="36">
        <f t="shared" ref="AE14:AE15" si="29">W14/V14</f>
        <v>2.2192982456140351</v>
      </c>
      <c r="AF14" s="36">
        <f>(W14-X14)/(Summary!$P$55)*Summary!$P$57*(Summary!$P$58/Summary!$P$59)*10^3</f>
        <v>25.531578947368423</v>
      </c>
      <c r="AG14" s="11">
        <f>(AF14)/(AVERAGE($M13:$M15))</f>
        <v>24.315789473683949</v>
      </c>
      <c r="AH14" s="39">
        <f t="shared" si="16"/>
        <v>2.0317557459540323</v>
      </c>
      <c r="AI14" s="39">
        <f t="shared" si="25"/>
        <v>25.496842105263159</v>
      </c>
      <c r="AJ14" s="39">
        <f t="shared" si="18"/>
        <v>24.28270676691703</v>
      </c>
    </row>
    <row r="15" spans="1:36" x14ac:dyDescent="0.35">
      <c r="A15" s="12">
        <v>43193</v>
      </c>
      <c r="B15" s="13">
        <v>0.33333333333333331</v>
      </c>
      <c r="C15" s="18">
        <v>25</v>
      </c>
      <c r="D15" s="7">
        <v>1.48</v>
      </c>
      <c r="E15" s="7">
        <v>1.47</v>
      </c>
      <c r="F15" s="9">
        <f t="shared" si="23"/>
        <v>1.4750000000000001</v>
      </c>
      <c r="G15" s="9">
        <v>304</v>
      </c>
      <c r="H15" s="9">
        <v>1482.5</v>
      </c>
      <c r="I15" s="9">
        <v>1488.3</v>
      </c>
      <c r="J15" s="9">
        <v>1484.8</v>
      </c>
      <c r="K15" s="9">
        <v>1489.4</v>
      </c>
      <c r="L15" s="9">
        <v>5</v>
      </c>
      <c r="M15" s="9">
        <f>(((I15-H15)/L15)+((K15-J15)/L15))/2</f>
        <v>1.0400000000000089</v>
      </c>
      <c r="N15" s="15">
        <f>IF(M15&gt;0,((M15*G15)/400),((((M14+#REF!)/2)*G15)/400))</f>
        <v>0.79040000000000676</v>
      </c>
      <c r="O15" s="15">
        <f t="shared" si="24"/>
        <v>0.76</v>
      </c>
      <c r="P15" s="10">
        <v>0.43099999999999999</v>
      </c>
      <c r="Q15" s="10">
        <v>0.73899999999999999</v>
      </c>
      <c r="R15" s="10">
        <v>1.4E-2</v>
      </c>
      <c r="S15" s="10">
        <v>0.40899999999999997</v>
      </c>
      <c r="T15" s="10">
        <v>0.72299999999999998</v>
      </c>
      <c r="U15" s="10">
        <v>1.7000000000000001E-2</v>
      </c>
      <c r="V15" s="10">
        <v>0.38800000000000001</v>
      </c>
      <c r="W15" s="10">
        <v>0.79500000000000004</v>
      </c>
      <c r="X15" s="10">
        <v>8.9999999999999993E-3</v>
      </c>
      <c r="Y15" s="36">
        <f t="shared" si="27"/>
        <v>1.7146171693735499</v>
      </c>
      <c r="Z15" s="36">
        <f>(Q15-R15)/(Summary!$P$55)*Summary!$P$57*(Summary!$P$58/Summary!$P$59)*10^3</f>
        <v>25.184210526315788</v>
      </c>
      <c r="AA15" s="11">
        <f>(Z15)/$M15</f>
        <v>24.215587044534203</v>
      </c>
      <c r="AB15" s="36">
        <f t="shared" si="28"/>
        <v>1.7677261613691932</v>
      </c>
      <c r="AC15" s="36">
        <f>(T15-U15)/(Summary!$P$55)*Summary!$P$57*(Summary!$P$58/Summary!$P$59)*10^3</f>
        <v>24.524210526315787</v>
      </c>
      <c r="AD15" s="11">
        <f>(AC15)/$M15</f>
        <v>23.580971659918823</v>
      </c>
      <c r="AE15" s="36">
        <f t="shared" si="29"/>
        <v>2.0489690721649483</v>
      </c>
      <c r="AF15" s="36">
        <f>(W15-X15)/(Summary!$P$55)*Summary!$P$57*(Summary!$P$58/Summary!$P$59)*10^3</f>
        <v>27.303157894736842</v>
      </c>
      <c r="AG15" s="11">
        <f>(AF15)/$M15</f>
        <v>26.253036437246738</v>
      </c>
      <c r="AH15" s="39">
        <f t="shared" si="16"/>
        <v>1.8437708009692304</v>
      </c>
      <c r="AI15" s="39">
        <f t="shared" si="25"/>
        <v>25.670526315789473</v>
      </c>
      <c r="AJ15" s="39">
        <f t="shared" si="18"/>
        <v>24.683198380566591</v>
      </c>
    </row>
    <row r="16" spans="1:36" s="16" customFormat="1" x14ac:dyDescent="0.35">
      <c r="A16" s="23"/>
      <c r="B16" s="24"/>
      <c r="C16" s="25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8"/>
      <c r="O16" s="28"/>
    </row>
    <row r="17" spans="1:36" x14ac:dyDescent="0.35">
      <c r="A17" s="12">
        <v>43182</v>
      </c>
      <c r="B17" s="13">
        <v>0.3125</v>
      </c>
      <c r="C17" s="14">
        <v>30</v>
      </c>
      <c r="D17" s="29">
        <v>1.5275000000000001</v>
      </c>
      <c r="E17" s="29">
        <v>1.5475000000000001</v>
      </c>
      <c r="F17" s="9">
        <f t="shared" si="23"/>
        <v>1.5375000000000001</v>
      </c>
      <c r="G17" s="9">
        <v>350.5</v>
      </c>
      <c r="H17" s="9"/>
      <c r="I17" s="9"/>
      <c r="J17" s="9"/>
      <c r="K17" s="9"/>
      <c r="L17" s="9"/>
      <c r="M17" s="9"/>
      <c r="N17" s="15">
        <f>IF(M17&gt;0,((M17*G17)/400),((((M20+M18)/2)*G17)/400))</f>
        <v>0.86091562499999397</v>
      </c>
      <c r="O17" s="15">
        <f t="shared" si="24"/>
        <v>0.87624999999999997</v>
      </c>
      <c r="P17" s="10">
        <v>0.24</v>
      </c>
      <c r="Q17" s="10">
        <v>1.1830000000000001</v>
      </c>
      <c r="R17" s="10">
        <v>0.01</v>
      </c>
      <c r="S17" s="10">
        <v>0.30499999999999999</v>
      </c>
      <c r="T17" s="10">
        <v>1.1240000000000001</v>
      </c>
      <c r="U17" s="10">
        <v>1.6E-2</v>
      </c>
      <c r="V17" s="10">
        <v>0.26</v>
      </c>
      <c r="W17" s="10">
        <v>1.1140000000000001</v>
      </c>
      <c r="X17" s="10">
        <v>1.0999999999999999E-2</v>
      </c>
      <c r="Y17" s="36">
        <f>Q17/P17</f>
        <v>4.9291666666666671</v>
      </c>
      <c r="Z17" s="36">
        <f>(Q17-R17)/(Summary!$P$55)*Summary!$P$57*(Summary!$P$58/Summary!$P$59)*10^3</f>
        <v>40.746315789473684</v>
      </c>
      <c r="AA17" s="11">
        <f>(Z17)/(AVERAGE($M17:$M22))</f>
        <v>40.678518259042008</v>
      </c>
      <c r="AB17" s="36">
        <f>T17/S17</f>
        <v>3.6852459016393446</v>
      </c>
      <c r="AC17" s="36">
        <f>(T17-U17)/(Summary!$P$55)*Summary!$P$57*(Summary!$P$58/Summary!$P$59)*10^3</f>
        <v>38.48842105263158</v>
      </c>
      <c r="AD17" s="11">
        <f>(AC17)/(AVERAGE($M17:$M22))</f>
        <v>38.424380418600634</v>
      </c>
      <c r="AE17" s="36">
        <f>W17/V17</f>
        <v>4.2846153846153845</v>
      </c>
      <c r="AF17" s="36">
        <f>(W17-X17)/(Summary!$P$55)*Summary!$P$57*(Summary!$P$58/Summary!$P$59)*10^3</f>
        <v>38.314736842105269</v>
      </c>
      <c r="AG17" s="11">
        <f>(AF17)/(AVERAGE($M17:$M22))</f>
        <v>38.250985200105148</v>
      </c>
      <c r="AH17" s="39">
        <f t="shared" ref="AH17:AH22" si="30">AVERAGE(Y17,AB17,AE17)</f>
        <v>4.2996759843071324</v>
      </c>
      <c r="AI17" s="39">
        <f t="shared" ref="AI17:AI22" si="31">AVERAGE(Z17,AC17,AF17)</f>
        <v>39.183157894736844</v>
      </c>
      <c r="AJ17" s="39">
        <f t="shared" ref="AJ17:AJ22" si="32">AVERAGE(AA17,AD17,AG17)</f>
        <v>39.117961292582599</v>
      </c>
    </row>
    <row r="18" spans="1:36" x14ac:dyDescent="0.35">
      <c r="A18" s="12">
        <v>43183</v>
      </c>
      <c r="B18" s="13">
        <v>0.3125</v>
      </c>
      <c r="C18" s="18">
        <v>30</v>
      </c>
      <c r="D18" s="29">
        <v>1.526</v>
      </c>
      <c r="E18" s="29">
        <v>1.528</v>
      </c>
      <c r="F18" s="9">
        <f t="shared" si="23"/>
        <v>1.5270000000000001</v>
      </c>
      <c r="G18" s="9">
        <v>332</v>
      </c>
      <c r="H18" s="9">
        <v>1453.93</v>
      </c>
      <c r="I18" s="9">
        <v>1459.7</v>
      </c>
      <c r="J18" s="9">
        <v>1474.82</v>
      </c>
      <c r="K18" s="9">
        <v>1479.1</v>
      </c>
      <c r="L18" s="9">
        <v>5</v>
      </c>
      <c r="M18" s="9">
        <f t="shared" ref="M18:M22" si="33">(((I18-H18)/L18)+((K18-J18)/L18))/2</f>
        <v>1.0049999999999955</v>
      </c>
      <c r="N18" s="15">
        <f t="shared" ref="N18:N21" si="34">IF(M18&gt;0,((M18*G18)/400),((((M17+M19)/2)*G18)/400))</f>
        <v>0.83414999999999617</v>
      </c>
      <c r="O18" s="15">
        <f t="shared" si="24"/>
        <v>0.83</v>
      </c>
      <c r="P18" s="10">
        <v>0.54700000000000004</v>
      </c>
      <c r="Q18" s="10">
        <v>1.3640000000000001</v>
      </c>
      <c r="R18" s="10">
        <v>6.8000000000000005E-2</v>
      </c>
      <c r="S18" s="10">
        <v>0.44600000000000001</v>
      </c>
      <c r="T18" s="10">
        <v>1.236</v>
      </c>
      <c r="U18" s="10">
        <v>2.1000000000000001E-2</v>
      </c>
      <c r="V18" s="10">
        <v>0.50900000000000001</v>
      </c>
      <c r="W18" s="10">
        <v>1.306</v>
      </c>
      <c r="X18" s="10">
        <v>4.9000000000000002E-2</v>
      </c>
      <c r="Y18" s="36">
        <f t="shared" ref="Y18:Y19" si="35">Q18/P18</f>
        <v>2.493601462522852</v>
      </c>
      <c r="Z18" s="36">
        <f>(Q18-R18)/(Summary!$P$55)*Summary!$P$57*(Summary!$P$58/Summary!$P$59)*10^3</f>
        <v>45.018947368421053</v>
      </c>
      <c r="AA18" s="11">
        <f>(Z18)/(AVERAGE($M17:$M22))</f>
        <v>44.944040634031069</v>
      </c>
      <c r="AB18" s="36">
        <f t="shared" ref="AB18:AB19" si="36">T18/S18</f>
        <v>2.7713004484304933</v>
      </c>
      <c r="AC18" s="36">
        <f>(T18-U18)/(Summary!$P$55)*Summary!$P$57*(Summary!$P$58/Summary!$P$59)*10^3</f>
        <v>42.205263157894741</v>
      </c>
      <c r="AD18" s="11">
        <f>(AC18)/(AVERAGE($M17:$M22))</f>
        <v>42.135038094404131</v>
      </c>
      <c r="AE18" s="36">
        <f t="shared" ref="AE18:AE19" si="37">W18/V18</f>
        <v>2.5658153241650297</v>
      </c>
      <c r="AF18" s="36">
        <f>(W18-X18)/(Summary!$P$55)*Summary!$P$57*(Summary!$P$58/Summary!$P$59)*10^3</f>
        <v>43.664210526315792</v>
      </c>
      <c r="AG18" s="11">
        <f>(AF18)/(AVERAGE($M17:$M22))</f>
        <v>43.591557929766246</v>
      </c>
      <c r="AH18" s="39">
        <f t="shared" si="30"/>
        <v>2.6102390783727913</v>
      </c>
      <c r="AI18" s="39">
        <f t="shared" si="31"/>
        <v>43.629473684210531</v>
      </c>
      <c r="AJ18" s="39">
        <f t="shared" si="32"/>
        <v>43.556878886067153</v>
      </c>
    </row>
    <row r="19" spans="1:36" x14ac:dyDescent="0.35">
      <c r="A19" s="12">
        <v>43184</v>
      </c>
      <c r="B19" s="13">
        <v>0.3125</v>
      </c>
      <c r="C19" s="18">
        <v>30</v>
      </c>
      <c r="D19" s="29">
        <v>1.52</v>
      </c>
      <c r="E19" s="29">
        <v>1.56</v>
      </c>
      <c r="F19" s="9">
        <f t="shared" si="23"/>
        <v>1.54</v>
      </c>
      <c r="G19" s="9">
        <v>343.5</v>
      </c>
      <c r="H19" s="9"/>
      <c r="I19" s="9"/>
      <c r="J19" s="9"/>
      <c r="K19" s="9"/>
      <c r="L19" s="9"/>
      <c r="M19" s="9"/>
      <c r="N19" s="15">
        <f t="shared" si="34"/>
        <v>0.84372187499999418</v>
      </c>
      <c r="O19" s="15">
        <f t="shared" si="24"/>
        <v>0.85875000000000001</v>
      </c>
      <c r="P19" s="10">
        <v>0.36499999999999999</v>
      </c>
      <c r="Q19" s="10">
        <v>1.1819999999999999</v>
      </c>
      <c r="R19" s="10">
        <v>5.0000000000000001E-3</v>
      </c>
      <c r="S19" s="10">
        <v>0.375</v>
      </c>
      <c r="T19" s="10">
        <v>1.1559999999999999</v>
      </c>
      <c r="U19" s="10">
        <v>7.0000000000000001E-3</v>
      </c>
      <c r="V19" s="10">
        <v>0.33200000000000002</v>
      </c>
      <c r="W19" s="10">
        <v>1.2</v>
      </c>
      <c r="X19" s="10">
        <v>2E-3</v>
      </c>
      <c r="Y19" s="36">
        <f t="shared" si="35"/>
        <v>3.2383561643835614</v>
      </c>
      <c r="Z19" s="36">
        <f>(Q19-R19)/(Summary!$P$55)*Summary!$P$57*(Summary!$P$58/Summary!$P$59)*10^3</f>
        <v>40.885263157894734</v>
      </c>
      <c r="AA19" s="11">
        <f>(Z19)/(AVERAGE($M18:$M22))</f>
        <v>40.817234433838401</v>
      </c>
      <c r="AB19" s="36">
        <f t="shared" si="36"/>
        <v>3.0826666666666664</v>
      </c>
      <c r="AC19" s="36">
        <f>(T19-U19)/(Summary!$P$55)*Summary!$P$57*(Summary!$P$58/Summary!$P$59)*10^3</f>
        <v>39.912631578947369</v>
      </c>
      <c r="AD19" s="11">
        <f>(AC19)/(AVERAGE($M18:$M22))</f>
        <v>39.846221210263657</v>
      </c>
      <c r="AE19" s="36">
        <f t="shared" si="37"/>
        <v>3.6144578313253009</v>
      </c>
      <c r="AF19" s="36">
        <f>(W19-X19)/(Summary!$P$55)*Summary!$P$57*(Summary!$P$58/Summary!$P$59)*10^3</f>
        <v>41.614736842105259</v>
      </c>
      <c r="AG19" s="11">
        <f>(AF19)/(AVERAGE($M18:$M22))</f>
        <v>41.545494351519459</v>
      </c>
      <c r="AH19" s="39">
        <f t="shared" si="30"/>
        <v>3.3118268874585097</v>
      </c>
      <c r="AI19" s="39">
        <f t="shared" si="31"/>
        <v>40.804210526315785</v>
      </c>
      <c r="AJ19" s="39">
        <f t="shared" si="32"/>
        <v>40.73631666520717</v>
      </c>
    </row>
    <row r="20" spans="1:36" x14ac:dyDescent="0.35">
      <c r="A20" s="12">
        <v>43185</v>
      </c>
      <c r="B20" s="13">
        <v>0.35416666666666669</v>
      </c>
      <c r="C20" s="18">
        <v>30</v>
      </c>
      <c r="D20" s="29">
        <v>1.532</v>
      </c>
      <c r="E20" s="29">
        <v>1.518</v>
      </c>
      <c r="F20" s="9">
        <f t="shared" si="23"/>
        <v>1.5249999999999999</v>
      </c>
      <c r="G20" s="9">
        <v>338.5</v>
      </c>
      <c r="H20" s="9">
        <v>1468.7</v>
      </c>
      <c r="I20" s="9">
        <v>1474</v>
      </c>
      <c r="J20" s="9">
        <v>1487.3</v>
      </c>
      <c r="K20" s="9">
        <v>1491.6</v>
      </c>
      <c r="L20" s="9">
        <v>5</v>
      </c>
      <c r="M20" s="9">
        <f t="shared" si="33"/>
        <v>0.95999999999999086</v>
      </c>
      <c r="N20" s="15">
        <f t="shared" si="34"/>
        <v>0.81239999999999224</v>
      </c>
      <c r="O20" s="15">
        <f t="shared" si="24"/>
        <v>0.84624999999999995</v>
      </c>
      <c r="P20" s="10">
        <v>0.36799999999999999</v>
      </c>
      <c r="Q20" s="10">
        <v>1.1000000000000001</v>
      </c>
      <c r="R20" s="10">
        <v>1.7000000000000001E-2</v>
      </c>
      <c r="S20" s="10">
        <v>0.373</v>
      </c>
      <c r="T20" s="10">
        <v>1.08</v>
      </c>
      <c r="U20" s="10">
        <v>1.4E-2</v>
      </c>
      <c r="V20" s="10">
        <v>0.39900000000000002</v>
      </c>
      <c r="W20" s="10">
        <v>1.1140000000000001</v>
      </c>
      <c r="X20" s="10">
        <v>2.5999999999999999E-2</v>
      </c>
      <c r="Y20" s="36">
        <f>Q20/P20</f>
        <v>2.9891304347826089</v>
      </c>
      <c r="Z20" s="36">
        <f>(Q20-R20)/(Summary!$P$55)*Summary!$P$57*(Summary!$P$58/Summary!$P$59)*10^3</f>
        <v>37.619999999999997</v>
      </c>
      <c r="AA20" s="11">
        <f>(Z20)/(AVERAGE($M19:$M23))</f>
        <v>37.620000000000005</v>
      </c>
      <c r="AB20" s="36">
        <f>T20/S20</f>
        <v>2.8954423592493299</v>
      </c>
      <c r="AC20" s="36">
        <f>(T20-U20)/(Summary!$P$55)*Summary!$P$57*(Summary!$P$58/Summary!$P$59)*10^3</f>
        <v>37.029473684210529</v>
      </c>
      <c r="AD20" s="11">
        <f>(AC20)/(AVERAGE($M19:$M23))</f>
        <v>37.029473684210537</v>
      </c>
      <c r="AE20" s="36">
        <f>W20/V20</f>
        <v>2.7919799498746869</v>
      </c>
      <c r="AF20" s="36">
        <f>(W20-X20)/(Summary!$P$55)*Summary!$P$57*(Summary!$P$58/Summary!$P$59)*10^3</f>
        <v>37.793684210526322</v>
      </c>
      <c r="AG20" s="11">
        <f>(AF20)/(AVERAGE($M19:$M23))</f>
        <v>37.79368421052633</v>
      </c>
      <c r="AH20" s="39">
        <f t="shared" si="30"/>
        <v>2.8921842479688755</v>
      </c>
      <c r="AI20" s="39">
        <f t="shared" si="31"/>
        <v>37.481052631578955</v>
      </c>
      <c r="AJ20" s="39">
        <f t="shared" si="32"/>
        <v>37.481052631578955</v>
      </c>
    </row>
    <row r="21" spans="1:36" x14ac:dyDescent="0.35">
      <c r="A21" s="12">
        <v>43186</v>
      </c>
      <c r="B21" s="13">
        <v>0.375</v>
      </c>
      <c r="C21" s="18">
        <v>30</v>
      </c>
      <c r="D21" s="29">
        <v>1.5960000000000001</v>
      </c>
      <c r="E21" s="29">
        <v>1.556</v>
      </c>
      <c r="F21" s="9">
        <f t="shared" si="23"/>
        <v>1.5760000000000001</v>
      </c>
      <c r="G21" s="9">
        <v>338.6</v>
      </c>
      <c r="H21" s="9"/>
      <c r="I21" s="9"/>
      <c r="J21" s="9"/>
      <c r="K21" s="9"/>
      <c r="L21" s="9"/>
      <c r="M21" s="9"/>
      <c r="N21" s="15">
        <f t="shared" si="34"/>
        <v>0.84649999999999992</v>
      </c>
      <c r="O21" s="15">
        <f t="shared" si="24"/>
        <v>0.84650000000000003</v>
      </c>
      <c r="P21" s="10">
        <v>0.35399999999999998</v>
      </c>
      <c r="Q21" s="10">
        <v>1.2</v>
      </c>
      <c r="R21" s="10">
        <v>0.02</v>
      </c>
      <c r="S21" s="10">
        <v>0.36699999999999999</v>
      </c>
      <c r="T21" s="10">
        <v>1.1559999999999999</v>
      </c>
      <c r="U21" s="10">
        <v>2.3E-2</v>
      </c>
      <c r="V21" s="10">
        <v>0.30599999999999999</v>
      </c>
      <c r="W21" s="10">
        <v>1.198</v>
      </c>
      <c r="X21" s="10">
        <v>1.2E-2</v>
      </c>
      <c r="Y21" s="36">
        <f t="shared" ref="Y21:Y22" si="38">Q21/P21</f>
        <v>3.3898305084745761</v>
      </c>
      <c r="Z21" s="36">
        <f>(Q21-R21)/(Summary!$P$55)*Summary!$P$57*(Summary!$P$58/Summary!$P$59)*10^3</f>
        <v>40.989473684210523</v>
      </c>
      <c r="AA21" s="11">
        <f>(Z21)/(AVERAGE($M20:$M23))</f>
        <v>40.98947368421053</v>
      </c>
      <c r="AB21" s="36">
        <f t="shared" ref="AB21:AB22" si="39">T21/S21</f>
        <v>3.1498637602179835</v>
      </c>
      <c r="AC21" s="36">
        <f>(T21-U21)/(Summary!$P$55)*Summary!$P$57*(Summary!$P$58/Summary!$P$59)*10^3</f>
        <v>39.356842105263162</v>
      </c>
      <c r="AD21" s="11">
        <f>(AC21)/(AVERAGE($M20:$M23))</f>
        <v>39.356842105263169</v>
      </c>
      <c r="AE21" s="36">
        <f t="shared" ref="AE21:AE22" si="40">W21/V21</f>
        <v>3.9150326797385619</v>
      </c>
      <c r="AF21" s="36">
        <f>(W21-X21)/(Summary!$P$55)*Summary!$P$57*(Summary!$P$58/Summary!$P$59)*10^3</f>
        <v>41.197894736842102</v>
      </c>
      <c r="AG21" s="11">
        <f>(AF21)/(AVERAGE($M20:$M23))</f>
        <v>41.197894736842109</v>
      </c>
      <c r="AH21" s="39">
        <f t="shared" si="30"/>
        <v>3.4849089828103739</v>
      </c>
      <c r="AI21" s="39">
        <f t="shared" si="31"/>
        <v>40.514736842105265</v>
      </c>
      <c r="AJ21" s="39">
        <f t="shared" si="32"/>
        <v>40.514736842105265</v>
      </c>
    </row>
    <row r="22" spans="1:36" x14ac:dyDescent="0.35">
      <c r="A22" s="12">
        <v>43187</v>
      </c>
      <c r="B22" s="13">
        <v>0.33333333333333331</v>
      </c>
      <c r="C22" s="18">
        <v>30</v>
      </c>
      <c r="D22" s="29">
        <v>1.59</v>
      </c>
      <c r="E22" s="29">
        <v>1.554</v>
      </c>
      <c r="F22" s="9">
        <f t="shared" si="23"/>
        <v>1.5720000000000001</v>
      </c>
      <c r="G22" s="9">
        <v>340</v>
      </c>
      <c r="H22" s="9">
        <v>1481.5</v>
      </c>
      <c r="I22" s="9">
        <v>1486.3</v>
      </c>
      <c r="J22" s="9">
        <v>1473.8</v>
      </c>
      <c r="K22" s="9">
        <v>1479.4</v>
      </c>
      <c r="L22" s="9">
        <v>5</v>
      </c>
      <c r="M22" s="9">
        <f t="shared" si="33"/>
        <v>1.0400000000000089</v>
      </c>
      <c r="N22" s="15">
        <f>IF(M22&gt;0,((M22*G22)/400),((((M21+#REF!)/2)*G22)/400))</f>
        <v>0.88400000000000756</v>
      </c>
      <c r="O22" s="15">
        <f t="shared" si="24"/>
        <v>0.85</v>
      </c>
      <c r="P22" s="10">
        <v>0.29899999999999999</v>
      </c>
      <c r="Q22" s="10">
        <v>1.18</v>
      </c>
      <c r="R22" s="10">
        <v>1.4E-2</v>
      </c>
      <c r="S22" s="10">
        <v>0.373</v>
      </c>
      <c r="T22" s="10">
        <v>1.2</v>
      </c>
      <c r="U22" s="10">
        <v>8.0000000000000002E-3</v>
      </c>
      <c r="V22" s="10">
        <v>0.34399999999999997</v>
      </c>
      <c r="W22" s="10">
        <v>1.256</v>
      </c>
      <c r="X22" s="10">
        <v>8.0000000000000002E-3</v>
      </c>
      <c r="Y22" s="36">
        <f t="shared" si="38"/>
        <v>3.9464882943143813</v>
      </c>
      <c r="Z22" s="36">
        <f>(Q22-R22)/(Summary!$P$55)*Summary!$P$57*(Summary!$P$58/Summary!$P$59)*10^3</f>
        <v>40.503157894736837</v>
      </c>
      <c r="AA22" s="11">
        <f>(Z22)/(AVERAGE($M21:$M23))</f>
        <v>38.945344129554314</v>
      </c>
      <c r="AB22" s="36">
        <f t="shared" si="39"/>
        <v>3.2171581769436997</v>
      </c>
      <c r="AC22" s="36">
        <f>(T22-U22)/(Summary!$P$55)*Summary!$P$57*(Summary!$P$58/Summary!$P$59)*10^3</f>
        <v>41.406315789473688</v>
      </c>
      <c r="AD22" s="11">
        <f>(AC22)/(AVERAGE($M21:$M23))</f>
        <v>39.813765182185897</v>
      </c>
      <c r="AE22" s="36">
        <f t="shared" si="40"/>
        <v>3.6511627906976747</v>
      </c>
      <c r="AF22" s="36">
        <f>(W22-X22)/(Summary!$P$55)*Summary!$P$57*(Summary!$P$58/Summary!$P$59)*10^3</f>
        <v>43.351578947368417</v>
      </c>
      <c r="AG22" s="11">
        <f>(AF22)/(AVERAGE($M21:$M23))</f>
        <v>41.684210526315425</v>
      </c>
      <c r="AH22" s="39">
        <f t="shared" si="30"/>
        <v>3.6049364206519185</v>
      </c>
      <c r="AI22" s="39">
        <f t="shared" si="31"/>
        <v>41.753684210526309</v>
      </c>
      <c r="AJ22" s="39">
        <f t="shared" si="32"/>
        <v>40.147773279351881</v>
      </c>
    </row>
    <row r="23" spans="1:36" s="16" customFormat="1" x14ac:dyDescent="0.35">
      <c r="C23" s="17"/>
    </row>
    <row r="24" spans="1:36" s="8" customFormat="1" x14ac:dyDescent="0.35">
      <c r="A24" s="12">
        <v>43191</v>
      </c>
      <c r="B24" s="13">
        <v>0.3125</v>
      </c>
      <c r="C24" s="18">
        <v>35</v>
      </c>
      <c r="D24" s="7">
        <v>1.544</v>
      </c>
      <c r="E24" s="7">
        <v>1.5660000000000001</v>
      </c>
      <c r="F24" s="9">
        <f t="shared" si="23"/>
        <v>1.5550000000000002</v>
      </c>
      <c r="G24" s="9">
        <v>335.5</v>
      </c>
      <c r="H24" s="9">
        <v>1481.7</v>
      </c>
      <c r="I24" s="9">
        <v>1489.2</v>
      </c>
      <c r="J24" s="9">
        <v>1493.2</v>
      </c>
      <c r="K24" s="9">
        <v>1496.3</v>
      </c>
      <c r="L24" s="9">
        <v>5</v>
      </c>
      <c r="M24" s="9">
        <f>(((I24-H24)/L24)+((K24-J24)/L24))/2</f>
        <v>1.0599999999999909</v>
      </c>
      <c r="N24" s="15">
        <f>IF(M24&gt;0,((M24*G24)/400),((((#REF!+M25)/2)*G24)/400))</f>
        <v>0.88907499999999251</v>
      </c>
      <c r="O24" s="15">
        <f t="shared" si="24"/>
        <v>0.83875</v>
      </c>
      <c r="P24" s="14">
        <v>0.39400000000000002</v>
      </c>
      <c r="Q24" s="14">
        <v>1.6</v>
      </c>
      <c r="R24" s="14">
        <v>1.4999999999999999E-2</v>
      </c>
      <c r="S24" s="14">
        <f>AVERAGE(S25:S26)</f>
        <v>0.42649999999999999</v>
      </c>
      <c r="T24" s="14">
        <v>1.58</v>
      </c>
      <c r="U24" s="14">
        <v>2.4E-2</v>
      </c>
      <c r="V24" s="14">
        <v>0.441</v>
      </c>
      <c r="W24" s="14">
        <v>1.62</v>
      </c>
      <c r="X24" s="14">
        <v>4.0000000000000001E-3</v>
      </c>
      <c r="Y24" s="40">
        <f>Q24/P24</f>
        <v>4.0609137055837561</v>
      </c>
      <c r="Z24" s="40">
        <f>(Q24-R24)/(Summary!$P$55)*Summary!$P$57*(Summary!$P$58/Summary!$P$59)*10^3</f>
        <v>55.057894736842108</v>
      </c>
      <c r="AA24" s="15">
        <f>(Z24)/$M24</f>
        <v>51.941410129096774</v>
      </c>
      <c r="AB24" s="40">
        <f>T24/S24</f>
        <v>3.7045720984759676</v>
      </c>
      <c r="AC24" s="40">
        <f>(T24-U24)/(Summary!$P$55)*Summary!$P$57*(Summary!$P$58/Summary!$P$59)*10^3</f>
        <v>54.050526315789476</v>
      </c>
      <c r="AD24" s="15">
        <f>(AC24)/$M24</f>
        <v>50.991062562065977</v>
      </c>
      <c r="AE24" s="40">
        <f>W24/V24</f>
        <v>3.6734693877551021</v>
      </c>
      <c r="AF24" s="40">
        <f>(W24-X24)/(Summary!$P$55)*Summary!$P$57*(Summary!$P$58/Summary!$P$59)*10^3</f>
        <v>56.134736842105269</v>
      </c>
      <c r="AG24" s="15">
        <f>(AF24)/$M24</f>
        <v>52.95729890764693</v>
      </c>
      <c r="AH24" s="41">
        <f t="shared" ref="AH24:AH29" si="41">AVERAGE(Y24,AB24,AE24)</f>
        <v>3.812985063938275</v>
      </c>
      <c r="AI24" s="41">
        <f t="shared" ref="AI24:AI26" si="42">AVERAGE(Z24,AC24,AF24)</f>
        <v>55.081052631578949</v>
      </c>
      <c r="AJ24" s="41">
        <f t="shared" ref="AJ24:AJ29" si="43">AVERAGE(AA24,AD24,AG24)</f>
        <v>51.963257199603227</v>
      </c>
    </row>
    <row r="25" spans="1:36" s="8" customFormat="1" x14ac:dyDescent="0.35">
      <c r="A25" s="12">
        <v>43192</v>
      </c>
      <c r="B25" s="13">
        <v>0.3125</v>
      </c>
      <c r="C25" s="18">
        <v>35</v>
      </c>
      <c r="D25" s="7">
        <v>1.56</v>
      </c>
      <c r="E25" s="7">
        <v>1.51</v>
      </c>
      <c r="F25" s="9">
        <f t="shared" si="23"/>
        <v>1.5350000000000001</v>
      </c>
      <c r="G25" s="9">
        <v>338</v>
      </c>
      <c r="H25" s="9"/>
      <c r="I25" s="9"/>
      <c r="J25" s="9"/>
      <c r="K25" s="9"/>
      <c r="L25" s="9"/>
      <c r="M25" s="9"/>
      <c r="N25" s="15">
        <f t="shared" ref="N25" si="44">IF(M25&gt;0,((M25*G25)/400),((((M24+M26)/2)*G25)/400))</f>
        <v>0.88978499999998784</v>
      </c>
      <c r="O25" s="15">
        <f t="shared" si="24"/>
        <v>0.84499999999999997</v>
      </c>
      <c r="P25" s="14">
        <v>0.45800000000000002</v>
      </c>
      <c r="Q25" s="14">
        <v>1.62</v>
      </c>
      <c r="R25" s="14">
        <v>5.0000000000000001E-3</v>
      </c>
      <c r="S25" s="14">
        <v>0.44800000000000001</v>
      </c>
      <c r="T25" s="14">
        <v>1.56</v>
      </c>
      <c r="U25" s="14">
        <v>8.9999999999999993E-3</v>
      </c>
      <c r="V25" s="14">
        <v>0.39100000000000001</v>
      </c>
      <c r="W25" s="14">
        <v>1.54</v>
      </c>
      <c r="X25" s="14">
        <v>1.0999999999999999E-2</v>
      </c>
      <c r="Y25" s="40">
        <f t="shared" ref="Y25:Y26" si="45">Q25/P25</f>
        <v>3.537117903930131</v>
      </c>
      <c r="Z25" s="40">
        <f>(Q25-R25)/(Summary!$P$55)*Summary!$P$57*(Summary!$P$58/Summary!$P$59)*10^3</f>
        <v>56.100000000000009</v>
      </c>
      <c r="AA25" s="15">
        <f>(Z25)/(AVERAGE($M24:$M26))</f>
        <v>53.276353276354008</v>
      </c>
      <c r="AB25" s="40">
        <f t="shared" ref="AB25:AB26" si="46">T25/S25</f>
        <v>3.4821428571428572</v>
      </c>
      <c r="AC25" s="40">
        <f>(T25-U25)/(Summary!$P$55)*Summary!$P$57*(Summary!$P$58/Summary!$P$59)*10^3</f>
        <v>53.876842105263158</v>
      </c>
      <c r="AD25" s="15">
        <f>(AC25)/(AVERAGE($M24:$M26))</f>
        <v>51.165092217724492</v>
      </c>
      <c r="AE25" s="40">
        <f t="shared" ref="AE25:AE26" si="47">W25/V25</f>
        <v>3.9386189258312019</v>
      </c>
      <c r="AF25" s="40">
        <f>(W25-X25)/(Summary!$P$55)*Summary!$P$57*(Summary!$P$58/Summary!$P$59)*10^3</f>
        <v>53.112631578947379</v>
      </c>
      <c r="AG25" s="15">
        <f>(AF25)/(AVERAGE($M24:$M26))</f>
        <v>50.439346228820604</v>
      </c>
      <c r="AH25" s="41">
        <f t="shared" si="41"/>
        <v>3.6526265623013967</v>
      </c>
      <c r="AI25" s="41">
        <f t="shared" si="42"/>
        <v>54.363157894736844</v>
      </c>
      <c r="AJ25" s="41">
        <f t="shared" si="43"/>
        <v>51.626930574299699</v>
      </c>
    </row>
    <row r="26" spans="1:36" s="8" customFormat="1" x14ac:dyDescent="0.35">
      <c r="A26" s="12">
        <v>43193</v>
      </c>
      <c r="B26" s="13">
        <v>0.3125</v>
      </c>
      <c r="C26" s="18">
        <v>35</v>
      </c>
      <c r="D26" s="7">
        <v>1.542</v>
      </c>
      <c r="E26" s="7">
        <v>1.5620000000000001</v>
      </c>
      <c r="F26" s="9">
        <f t="shared" si="23"/>
        <v>1.552</v>
      </c>
      <c r="G26" s="9">
        <v>341.5</v>
      </c>
      <c r="H26" s="9">
        <v>1462.54</v>
      </c>
      <c r="I26" s="9">
        <v>1467.1</v>
      </c>
      <c r="J26" s="9">
        <v>1475.2</v>
      </c>
      <c r="K26" s="9">
        <v>1481.1</v>
      </c>
      <c r="L26" s="9">
        <v>5</v>
      </c>
      <c r="M26" s="9">
        <f t="shared" ref="M26" si="48">(((I26-H26)/L26)+((K26-J26)/L26))/2</f>
        <v>1.0459999999999807</v>
      </c>
      <c r="N26" s="15">
        <f>IF(M26&gt;0,((M26*G26)/400),((((M25+#REF!)/2)*G26)/400))</f>
        <v>0.89302249999998351</v>
      </c>
      <c r="O26" s="15">
        <f t="shared" si="24"/>
        <v>0.85375000000000001</v>
      </c>
      <c r="P26" s="14">
        <v>0.43099999999999999</v>
      </c>
      <c r="Q26" s="14">
        <v>1.56</v>
      </c>
      <c r="R26" s="14">
        <v>1.2E-2</v>
      </c>
      <c r="S26" s="14">
        <v>0.40500000000000003</v>
      </c>
      <c r="T26" s="14">
        <v>1.58</v>
      </c>
      <c r="U26" s="14">
        <v>1.0999999999999999E-2</v>
      </c>
      <c r="V26" s="14">
        <v>0.41099999999999998</v>
      </c>
      <c r="W26" s="14">
        <v>1.6</v>
      </c>
      <c r="X26" s="14">
        <v>1.0999999999999999E-2</v>
      </c>
      <c r="Y26" s="40">
        <f t="shared" si="45"/>
        <v>3.6194895591647334</v>
      </c>
      <c r="Z26" s="40">
        <f>(Q26-R26)/(Summary!$P$55)*Summary!$P$57*(Summary!$P$58/Summary!$P$59)*10^3</f>
        <v>53.772631578947369</v>
      </c>
      <c r="AA26" s="15">
        <f>(Z26)/$M26</f>
        <v>51.40786957834451</v>
      </c>
      <c r="AB26" s="40">
        <f t="shared" si="46"/>
        <v>3.9012345679012346</v>
      </c>
      <c r="AC26" s="40">
        <f>(T26-U26)/(Summary!$P$55)*Summary!$P$57*(Summary!$P$58/Summary!$P$59)*10^3</f>
        <v>54.502105263157901</v>
      </c>
      <c r="AD26" s="15">
        <f>(AC26)/$M26</f>
        <v>52.105263157895706</v>
      </c>
      <c r="AE26" s="40">
        <f t="shared" si="47"/>
        <v>3.892944038929441</v>
      </c>
      <c r="AF26" s="40">
        <f>(W26-X26)/(Summary!$P$55)*Summary!$P$57*(Summary!$P$58/Summary!$P$59)*10^3</f>
        <v>55.196842105263165</v>
      </c>
      <c r="AG26" s="15">
        <f>(AF26)/$M26</f>
        <v>52.769447519373024</v>
      </c>
      <c r="AH26" s="41">
        <f t="shared" si="41"/>
        <v>3.804556055331803</v>
      </c>
      <c r="AI26" s="41">
        <f t="shared" si="42"/>
        <v>54.490526315789481</v>
      </c>
      <c r="AJ26" s="41">
        <f t="shared" si="43"/>
        <v>52.094193418537742</v>
      </c>
    </row>
    <row r="27" spans="1:36" s="8" customFormat="1" x14ac:dyDescent="0.35">
      <c r="A27" s="12">
        <v>43191</v>
      </c>
      <c r="B27" s="13">
        <v>0.3125</v>
      </c>
      <c r="C27" s="18">
        <v>35</v>
      </c>
      <c r="D27" s="7">
        <v>1.556</v>
      </c>
      <c r="E27" s="7">
        <v>1.458</v>
      </c>
      <c r="F27" s="9">
        <f t="shared" si="23"/>
        <v>1.5070000000000001</v>
      </c>
      <c r="G27" s="9">
        <v>359</v>
      </c>
      <c r="H27" s="9">
        <v>1468.6</v>
      </c>
      <c r="I27" s="9">
        <v>1473.7</v>
      </c>
      <c r="J27" s="9">
        <v>1483.7</v>
      </c>
      <c r="K27" s="9">
        <v>1488.7</v>
      </c>
      <c r="L27" s="9">
        <v>5</v>
      </c>
      <c r="M27" s="9">
        <f>(((I27-H27)/L27)+((K27-J27)/L27))/2</f>
        <v>1.0100000000000136</v>
      </c>
      <c r="N27" s="15">
        <f>IF(M27&gt;0,((M27*G27)/400),((((#REF!+M28)/2)*G27)/400))</f>
        <v>0.90647500000001213</v>
      </c>
      <c r="O27" s="15">
        <f t="shared" ref="O27:O29" si="49">G27/400</f>
        <v>0.89749999999999996</v>
      </c>
      <c r="P27" s="14">
        <v>0.40500000000000003</v>
      </c>
      <c r="Q27" s="14">
        <v>1.56</v>
      </c>
      <c r="R27" s="14">
        <v>5.0000000000000001E-3</v>
      </c>
      <c r="S27" s="14">
        <v>0.40899999999999997</v>
      </c>
      <c r="T27" s="14">
        <v>1.51</v>
      </c>
      <c r="U27" s="14">
        <v>7.0000000000000001E-3</v>
      </c>
      <c r="V27" s="14">
        <v>0.45600000000000002</v>
      </c>
      <c r="W27" s="14">
        <v>1.65</v>
      </c>
      <c r="X27" s="14">
        <v>4.0000000000000001E-3</v>
      </c>
      <c r="Y27" s="40">
        <f>Q27/P27</f>
        <v>3.8518518518518516</v>
      </c>
      <c r="Z27" s="40">
        <f>(Q27-R27)/(Summary!$P$55)*Summary!$P$57*(Summary!$P$58/Summary!$P$59)*10^3</f>
        <v>54.015789473684208</v>
      </c>
      <c r="AA27" s="15">
        <f>(Z27)/$M27</f>
        <v>53.480979676914338</v>
      </c>
      <c r="AB27" s="40">
        <f>T27/S27</f>
        <v>3.6919315403422988</v>
      </c>
      <c r="AC27" s="40">
        <f>(T27-U27)/(Summary!$P$55)*Summary!$P$57*(Summary!$P$58/Summary!$P$59)*10^3</f>
        <v>52.209473684210529</v>
      </c>
      <c r="AD27" s="15">
        <f>(AC27)/$M27</f>
        <v>51.69254820218795</v>
      </c>
      <c r="AE27" s="40">
        <f>W27/V27</f>
        <v>3.6184210526315788</v>
      </c>
      <c r="AF27" s="40">
        <f>(W27-X27)/(Summary!$P$55)*Summary!$P$57*(Summary!$P$58/Summary!$P$59)*10^3</f>
        <v>57.176842105263155</v>
      </c>
      <c r="AG27" s="15">
        <f>(AF27)/$M27</f>
        <v>56.610734757685535</v>
      </c>
      <c r="AH27" s="41">
        <f t="shared" si="41"/>
        <v>3.7207348149419097</v>
      </c>
      <c r="AI27" s="41">
        <f t="shared" ref="AI27:AI29" si="50">AVERAGE(Z27,AC27,AF27)</f>
        <v>54.467368421052633</v>
      </c>
      <c r="AJ27" s="41">
        <f t="shared" si="43"/>
        <v>53.92808754559595</v>
      </c>
    </row>
    <row r="28" spans="1:36" s="8" customFormat="1" x14ac:dyDescent="0.35">
      <c r="A28" s="12">
        <v>43192</v>
      </c>
      <c r="B28" s="13">
        <v>0.3125</v>
      </c>
      <c r="C28" s="18">
        <v>35</v>
      </c>
      <c r="D28" s="7">
        <v>1.516</v>
      </c>
      <c r="E28" s="7">
        <v>1.542</v>
      </c>
      <c r="F28" s="9">
        <f t="shared" si="23"/>
        <v>1.5289999999999999</v>
      </c>
      <c r="G28" s="9">
        <v>362</v>
      </c>
      <c r="H28" s="9"/>
      <c r="I28" s="9"/>
      <c r="J28" s="9"/>
      <c r="K28" s="9"/>
      <c r="L28" s="9"/>
      <c r="M28" s="9"/>
      <c r="N28" s="15">
        <f t="shared" ref="N28:N29" si="51">IF(M28&gt;0,((M28*G28)/400),((((M27+M29)/2)*G28)/400))</f>
        <v>0.91857500000000814</v>
      </c>
      <c r="O28" s="15">
        <f t="shared" si="49"/>
        <v>0.90500000000000003</v>
      </c>
      <c r="P28" s="14">
        <v>0.38600000000000001</v>
      </c>
      <c r="Q28" s="14">
        <v>1.63</v>
      </c>
      <c r="R28" s="14">
        <v>5.0000000000000001E-3</v>
      </c>
      <c r="S28" s="14">
        <v>0.35699999999999998</v>
      </c>
      <c r="T28" s="14">
        <v>1.62</v>
      </c>
      <c r="U28" s="14">
        <v>8.0000000000000002E-3</v>
      </c>
      <c r="V28" s="14">
        <v>0.34100000000000003</v>
      </c>
      <c r="W28" s="14">
        <v>1.57</v>
      </c>
      <c r="X28" s="14">
        <v>1.0999999999999999E-2</v>
      </c>
      <c r="Y28" s="40">
        <f t="shared" ref="Y28:Y29" si="52">Q28/P28</f>
        <v>4.2227979274611398</v>
      </c>
      <c r="Z28" s="40">
        <f>(Q28-R28)/(Summary!$P$55)*Summary!$P$57*(Summary!$P$58/Summary!$P$59)*10^3</f>
        <v>56.447368421052637</v>
      </c>
      <c r="AA28" s="15">
        <f>(Z28)/(AVERAGE($M27:$M29))</f>
        <v>55.613170858179444</v>
      </c>
      <c r="AB28" s="40">
        <f t="shared" ref="AB28:AB29" si="53">T28/S28</f>
        <v>4.5378151260504209</v>
      </c>
      <c r="AC28" s="40">
        <f>(T28-U28)/(Summary!$P$55)*Summary!$P$57*(Summary!$P$58/Summary!$P$59)*10^3</f>
        <v>55.995789473684212</v>
      </c>
      <c r="AD28" s="15">
        <f>(AC28)/(AVERAGE($M27:$M29))</f>
        <v>55.168265491314003</v>
      </c>
      <c r="AE28" s="40">
        <f t="shared" ref="AE28:AE29" si="54">W28/V28</f>
        <v>4.6041055718475068</v>
      </c>
      <c r="AF28" s="40">
        <f>(W28-X28)/(Summary!$P$55)*Summary!$P$57*(Summary!$P$58/Summary!$P$59)*10^3</f>
        <v>54.154736842105272</v>
      </c>
      <c r="AG28" s="15">
        <f>(AF28)/(AVERAGE($M27:$M29))</f>
        <v>53.354420534093393</v>
      </c>
      <c r="AH28" s="41">
        <f t="shared" si="41"/>
        <v>4.4549062084530222</v>
      </c>
      <c r="AI28" s="41">
        <f t="shared" si="50"/>
        <v>55.532631578947381</v>
      </c>
      <c r="AJ28" s="41">
        <f t="shared" si="43"/>
        <v>54.711952294528942</v>
      </c>
    </row>
    <row r="29" spans="1:36" s="8" customFormat="1" x14ac:dyDescent="0.35">
      <c r="A29" s="12">
        <v>43193</v>
      </c>
      <c r="B29" s="13">
        <v>0.3125</v>
      </c>
      <c r="C29" s="18">
        <v>35</v>
      </c>
      <c r="D29" s="7">
        <v>1.56</v>
      </c>
      <c r="E29" s="7">
        <v>1.5680000000000001</v>
      </c>
      <c r="F29" s="9">
        <f t="shared" si="23"/>
        <v>1.5640000000000001</v>
      </c>
      <c r="G29" s="9">
        <v>363</v>
      </c>
      <c r="H29" s="9">
        <v>1462.9</v>
      </c>
      <c r="I29" s="9">
        <v>1468</v>
      </c>
      <c r="J29" s="9">
        <v>1483.8</v>
      </c>
      <c r="K29" s="9">
        <v>1488.9</v>
      </c>
      <c r="L29" s="9">
        <v>5</v>
      </c>
      <c r="M29" s="9">
        <f t="shared" ref="M29" si="55">(((I29-H29)/L29)+((K29-J29)/L29))/2</f>
        <v>1.0200000000000045</v>
      </c>
      <c r="N29" s="15">
        <f t="shared" si="51"/>
        <v>0.92565000000000408</v>
      </c>
      <c r="O29" s="15">
        <f t="shared" si="49"/>
        <v>0.90749999999999997</v>
      </c>
      <c r="P29" s="14">
        <v>0.39400000000000002</v>
      </c>
      <c r="Q29" s="14">
        <v>1.6</v>
      </c>
      <c r="R29" s="14">
        <v>8.9999999999999993E-3</v>
      </c>
      <c r="S29" s="14">
        <v>0.432</v>
      </c>
      <c r="T29" s="14">
        <v>1.58</v>
      </c>
      <c r="U29" s="14">
        <v>1.0999999999999999E-2</v>
      </c>
      <c r="V29" s="14">
        <v>0.45100000000000001</v>
      </c>
      <c r="W29" s="14">
        <v>1.56</v>
      </c>
      <c r="X29" s="14">
        <v>8.0000000000000002E-3</v>
      </c>
      <c r="Y29" s="40">
        <f t="shared" si="52"/>
        <v>4.0609137055837561</v>
      </c>
      <c r="Z29" s="40">
        <f>(Q29-R29)/(Summary!$P$55)*Summary!$P$57*(Summary!$P$58/Summary!$P$59)*10^3</f>
        <v>55.266315789473694</v>
      </c>
      <c r="AA29" s="15">
        <f>(Z29)/$M29</f>
        <v>54.182662538699461</v>
      </c>
      <c r="AB29" s="40">
        <f t="shared" si="53"/>
        <v>3.6574074074074074</v>
      </c>
      <c r="AC29" s="40">
        <f>(T29-U29)/(Summary!$P$55)*Summary!$P$57*(Summary!$P$58/Summary!$P$59)*10^3</f>
        <v>54.502105263157901</v>
      </c>
      <c r="AD29" s="15">
        <f>(AC29)/$M29</f>
        <v>53.433436532507514</v>
      </c>
      <c r="AE29" s="40">
        <f t="shared" si="54"/>
        <v>3.458980044345898</v>
      </c>
      <c r="AF29" s="40">
        <f>(W29-X29)/(Summary!$P$55)*Summary!$P$57*(Summary!$P$58/Summary!$P$59)*10^3</f>
        <v>53.911578947368419</v>
      </c>
      <c r="AG29" s="15">
        <f>(AF29)/$M29</f>
        <v>52.854489164086452</v>
      </c>
      <c r="AH29" s="41">
        <f t="shared" si="41"/>
        <v>3.7257670524456876</v>
      </c>
      <c r="AI29" s="41">
        <f t="shared" si="50"/>
        <v>54.56</v>
      </c>
      <c r="AJ29" s="41">
        <f t="shared" si="43"/>
        <v>53.490196078431147</v>
      </c>
    </row>
    <row r="30" spans="1:36" s="16" customFormat="1" x14ac:dyDescent="0.35">
      <c r="C30" s="17"/>
    </row>
    <row r="31" spans="1:36" s="8" customFormat="1" x14ac:dyDescent="0.35">
      <c r="A31" s="12">
        <v>43202</v>
      </c>
      <c r="B31" s="13">
        <v>0.3125</v>
      </c>
      <c r="C31" s="18">
        <v>40</v>
      </c>
      <c r="D31" s="7">
        <v>1.274</v>
      </c>
      <c r="E31" s="7">
        <v>1.24</v>
      </c>
      <c r="F31" s="9">
        <f t="shared" si="23"/>
        <v>1.2570000000000001</v>
      </c>
      <c r="G31" s="9">
        <v>413</v>
      </c>
      <c r="H31" s="9">
        <v>1468.5</v>
      </c>
      <c r="I31" s="9">
        <v>1474.3</v>
      </c>
      <c r="J31" s="9">
        <v>1472</v>
      </c>
      <c r="K31" s="9">
        <v>1476.9</v>
      </c>
      <c r="L31" s="9">
        <v>5</v>
      </c>
      <c r="M31" s="9">
        <f>(((I31-H31)/L31)+((K31-J31)/L31))/2</f>
        <v>1.0700000000000045</v>
      </c>
      <c r="N31" s="15">
        <f>IF(M31&gt;0,((M31*G31)/400),((((M33+M32)/2)*G31)/400))</f>
        <v>1.1047750000000045</v>
      </c>
      <c r="O31" s="15">
        <f t="shared" ref="O31:O35" si="56">G31/400</f>
        <v>1.0325</v>
      </c>
      <c r="P31" s="14">
        <v>0.436</v>
      </c>
      <c r="Q31" s="14">
        <v>2.1</v>
      </c>
      <c r="R31" s="14">
        <v>8.0000000000000002E-3</v>
      </c>
      <c r="S31" s="14">
        <v>0.317</v>
      </c>
      <c r="T31" s="14">
        <v>2.06</v>
      </c>
      <c r="U31" s="14">
        <v>0.01</v>
      </c>
      <c r="V31" s="14">
        <v>0.39600000000000002</v>
      </c>
      <c r="W31" s="14">
        <v>1.95</v>
      </c>
      <c r="X31" s="14">
        <v>5.0000000000000001E-3</v>
      </c>
      <c r="Y31" s="40">
        <f>Q31/P31</f>
        <v>4.8165137614678901</v>
      </c>
      <c r="Z31" s="40">
        <f>(Q31-R31)/(Summary!$P$55)*Summary!$P$57*(Summary!$P$58/Summary!$P$59)*10^3</f>
        <v>72.66947368421053</v>
      </c>
      <c r="AA31" s="15">
        <f>(Z31)/(AVERAGE($M31:$M32))</f>
        <v>69.874493927125656</v>
      </c>
      <c r="AB31" s="40">
        <f>T31/S31</f>
        <v>6.4984227129337544</v>
      </c>
      <c r="AC31" s="40">
        <f>(T31-U31)/(Summary!$P$55)*Summary!$P$57*(Summary!$P$58/Summary!$P$59)*10^3</f>
        <v>71.21052631578948</v>
      </c>
      <c r="AD31" s="15">
        <f>(AC31)/(AVERAGE($M31:$M32))</f>
        <v>68.471659919028497</v>
      </c>
      <c r="AE31" s="40">
        <f>W31/V31</f>
        <v>4.9242424242424239</v>
      </c>
      <c r="AF31" s="40">
        <f>(W31-X31)/(Summary!$P$55)*Summary!$P$57*(Summary!$P$58/Summary!$P$59)*10^3</f>
        <v>67.563157894736833</v>
      </c>
      <c r="AG31" s="15">
        <f>(AF31)/(AVERAGE($M31:$M32))</f>
        <v>64.964574898785557</v>
      </c>
      <c r="AH31" s="41">
        <f t="shared" ref="AH31:AH36" si="57">AVERAGE(Y31,AB31,AE31)</f>
        <v>5.4130596328813567</v>
      </c>
      <c r="AI31" s="41">
        <f t="shared" ref="AI31:AI33" si="58">AVERAGE(Z31,AC31,AF31)</f>
        <v>70.481052631578947</v>
      </c>
      <c r="AJ31" s="41">
        <f t="shared" ref="AJ31:AJ36" si="59">AVERAGE(AA31,AD31,AG31)</f>
        <v>67.770242914979903</v>
      </c>
    </row>
    <row r="32" spans="1:36" s="8" customFormat="1" x14ac:dyDescent="0.35">
      <c r="A32" s="12">
        <v>43203</v>
      </c>
      <c r="B32" s="13">
        <v>0.3125</v>
      </c>
      <c r="C32" s="18">
        <v>40</v>
      </c>
      <c r="D32" s="7">
        <v>1.268</v>
      </c>
      <c r="E32" s="7">
        <v>1.28</v>
      </c>
      <c r="F32" s="9">
        <f t="shared" si="23"/>
        <v>1.274</v>
      </c>
      <c r="G32" s="9">
        <v>415</v>
      </c>
      <c r="H32" s="9">
        <v>1463.4</v>
      </c>
      <c r="I32" s="9">
        <v>1468.4</v>
      </c>
      <c r="J32" s="9">
        <v>1465.5</v>
      </c>
      <c r="K32" s="9">
        <v>1470.6</v>
      </c>
      <c r="L32" s="9">
        <v>5</v>
      </c>
      <c r="M32" s="9">
        <f>(((I32-H32)/L32)+((K32-J32)/L32))/2</f>
        <v>1.0099999999999909</v>
      </c>
      <c r="N32" s="15">
        <f t="shared" ref="N32" si="60">IF(M32&gt;0,((M32*G32)/400),((((M31+M33)/2)*G32)/400))</f>
        <v>1.0478749999999906</v>
      </c>
      <c r="O32" s="15">
        <f t="shared" si="56"/>
        <v>1.0375000000000001</v>
      </c>
      <c r="P32" s="14">
        <v>0.42099999999999999</v>
      </c>
      <c r="Q32" s="14">
        <v>2.2200000000000002</v>
      </c>
      <c r="R32" s="14">
        <v>3.0000000000000001E-3</v>
      </c>
      <c r="S32" s="14">
        <v>0.45</v>
      </c>
      <c r="T32" s="14">
        <v>2.2999999999999998</v>
      </c>
      <c r="U32" s="14">
        <v>3.0000000000000001E-3</v>
      </c>
      <c r="V32" s="14">
        <v>0.45600000000000002</v>
      </c>
      <c r="W32" s="14">
        <v>2.27</v>
      </c>
      <c r="X32" s="14">
        <v>8.0000000000000002E-3</v>
      </c>
      <c r="Y32" s="40">
        <f t="shared" ref="Y32:Y33" si="61">Q32/P32</f>
        <v>5.2731591448931123</v>
      </c>
      <c r="Z32" s="40">
        <f>(Q32-R32)/(Summary!$P$55)*Summary!$P$57*(Summary!$P$58/Summary!$P$59)*10^3</f>
        <v>77.01157894736842</v>
      </c>
      <c r="AA32" s="15">
        <f>(Z32)/(AVERAGE($M31:$M32))</f>
        <v>74.049595141700564</v>
      </c>
      <c r="AB32" s="40">
        <f t="shared" ref="AB32:AB33" si="62">T32/S32</f>
        <v>5.1111111111111107</v>
      </c>
      <c r="AC32" s="40">
        <f>(T32-U32)/(Summary!$P$55)*Summary!$P$57*(Summary!$P$58/Summary!$P$59)*10^3</f>
        <v>79.790526315789464</v>
      </c>
      <c r="AD32" s="15">
        <f>(AC32)/(AVERAGE($M31:$M32))</f>
        <v>76.721659919028497</v>
      </c>
      <c r="AE32" s="40">
        <f t="shared" ref="AE32:AE33" si="63">W32/V32</f>
        <v>4.9780701754385968</v>
      </c>
      <c r="AF32" s="40">
        <f>(W32-X32)/(Summary!$P$55)*Summary!$P$57*(Summary!$P$58/Summary!$P$59)*10^3</f>
        <v>78.574736842105253</v>
      </c>
      <c r="AG32" s="15">
        <f>(AF32)/(AVERAGE($M31:$M32))</f>
        <v>75.552631578947512</v>
      </c>
      <c r="AH32" s="41">
        <f t="shared" si="57"/>
        <v>5.1207801438142733</v>
      </c>
      <c r="AI32" s="41">
        <f t="shared" si="58"/>
        <v>78.45894736842105</v>
      </c>
      <c r="AJ32" s="41">
        <f t="shared" si="59"/>
        <v>75.441295546558862</v>
      </c>
    </row>
    <row r="33" spans="1:36" s="8" customFormat="1" x14ac:dyDescent="0.35">
      <c r="A33" s="12">
        <v>43204</v>
      </c>
      <c r="B33" s="13">
        <v>0.3125</v>
      </c>
      <c r="C33" s="18">
        <v>40</v>
      </c>
      <c r="D33" s="7">
        <v>1.26</v>
      </c>
      <c r="E33" s="7">
        <v>1.254</v>
      </c>
      <c r="F33" s="9">
        <f t="shared" si="23"/>
        <v>1.2570000000000001</v>
      </c>
      <c r="G33" s="9">
        <v>421</v>
      </c>
      <c r="H33" s="9"/>
      <c r="I33" s="9"/>
      <c r="J33" s="9"/>
      <c r="K33" s="9"/>
      <c r="L33" s="9"/>
      <c r="M33" s="9"/>
      <c r="N33" s="15">
        <f>IF(M33&gt;0,((M33*G33)/400),((((M31+M32)/2)*G33)/400))</f>
        <v>1.0945999999999976</v>
      </c>
      <c r="O33" s="15">
        <f t="shared" si="56"/>
        <v>1.0525</v>
      </c>
      <c r="P33" s="14">
        <v>0.49199999999999999</v>
      </c>
      <c r="Q33" s="14">
        <v>2.4</v>
      </c>
      <c r="R33" s="14">
        <v>8.9999999999999993E-3</v>
      </c>
      <c r="S33" s="14">
        <v>0.46899999999999997</v>
      </c>
      <c r="T33" s="14">
        <v>2.2000000000000002</v>
      </c>
      <c r="U33" s="14">
        <v>6.0000000000000001E-3</v>
      </c>
      <c r="V33" s="14">
        <v>0.42299999999999999</v>
      </c>
      <c r="W33" s="14">
        <v>2.2999999999999998</v>
      </c>
      <c r="X33" s="14">
        <v>4.0000000000000001E-3</v>
      </c>
      <c r="Y33" s="40">
        <f t="shared" si="61"/>
        <v>4.8780487804878048</v>
      </c>
      <c r="Z33" s="40">
        <f>(Q33-R33)/(Summary!$P$55)*Summary!$P$57*(Summary!$P$58/Summary!$P$59)*10^3</f>
        <v>83.055789473684214</v>
      </c>
      <c r="AA33" s="15">
        <f>(Z33)/(AVERAGE($M31:$M32))</f>
        <v>79.861336032388834</v>
      </c>
      <c r="AB33" s="40">
        <f t="shared" si="62"/>
        <v>4.6908315565031993</v>
      </c>
      <c r="AC33" s="40">
        <f>(T33-U33)/(Summary!$P$55)*Summary!$P$57*(Summary!$P$58/Summary!$P$59)*10^3</f>
        <v>76.212631578947381</v>
      </c>
      <c r="AD33" s="15">
        <f>(AC33)/(AVERAGE($M31:$M32))</f>
        <v>73.281376518218792</v>
      </c>
      <c r="AE33" s="40">
        <f t="shared" si="63"/>
        <v>5.4373522458628836</v>
      </c>
      <c r="AF33" s="40">
        <f>(W33-X33)/(Summary!$P$55)*Summary!$P$57*(Summary!$P$58/Summary!$P$59)*10^3</f>
        <v>79.755789473684203</v>
      </c>
      <c r="AG33" s="15">
        <f>(AF33)/(AVERAGE($M31:$M32))</f>
        <v>76.6882591093119</v>
      </c>
      <c r="AH33" s="41">
        <f t="shared" si="57"/>
        <v>5.0020775276179625</v>
      </c>
      <c r="AI33" s="41">
        <f t="shared" si="58"/>
        <v>79.674736842105276</v>
      </c>
      <c r="AJ33" s="41">
        <f t="shared" si="59"/>
        <v>76.610323886639847</v>
      </c>
    </row>
    <row r="34" spans="1:36" s="8" customFormat="1" x14ac:dyDescent="0.35">
      <c r="A34" s="12">
        <v>43202</v>
      </c>
      <c r="B34" s="13">
        <v>0.3125</v>
      </c>
      <c r="C34" s="18">
        <v>40</v>
      </c>
      <c r="D34" s="7">
        <v>1.274</v>
      </c>
      <c r="E34" s="7">
        <v>1.26</v>
      </c>
      <c r="F34" s="9">
        <f t="shared" si="23"/>
        <v>1.2669999999999999</v>
      </c>
      <c r="G34" s="9">
        <v>418</v>
      </c>
      <c r="H34" s="9">
        <v>1461.8</v>
      </c>
      <c r="I34" s="9">
        <v>1467.1</v>
      </c>
      <c r="J34" s="9">
        <v>1473.9</v>
      </c>
      <c r="K34" s="9">
        <v>1479.4</v>
      </c>
      <c r="L34" s="9">
        <v>5</v>
      </c>
      <c r="M34" s="9">
        <f t="shared" ref="M34" si="64">(((I34-H34)/L34)+((K34-J34)/L34))/2</f>
        <v>1.0799999999999956</v>
      </c>
      <c r="N34" s="15">
        <f>IF(M34&gt;0,((M34*G34)/400),((((M34+M35)/2)*G34)/400))</f>
        <v>1.1285999999999954</v>
      </c>
      <c r="O34" s="15">
        <f t="shared" si="56"/>
        <v>1.0449999999999999</v>
      </c>
      <c r="P34" s="14">
        <v>0.36799999999999999</v>
      </c>
      <c r="Q34" s="14">
        <v>2.1</v>
      </c>
      <c r="R34" s="14">
        <v>4.0000000000000001E-3</v>
      </c>
      <c r="S34" s="14">
        <v>0.40100000000000002</v>
      </c>
      <c r="T34" s="14">
        <v>2.2000000000000002</v>
      </c>
      <c r="U34" s="14">
        <v>8.9999999999999993E-3</v>
      </c>
      <c r="V34" s="14">
        <v>0.375</v>
      </c>
      <c r="W34" s="14">
        <v>2.06</v>
      </c>
      <c r="X34" s="14">
        <v>8.0000000000000002E-3</v>
      </c>
      <c r="Y34" s="40">
        <f>Q34/P34</f>
        <v>5.7065217391304355</v>
      </c>
      <c r="Z34" s="40">
        <f>(Q34-R34)/(Summary!$P$55)*Summary!$P$57*(Summary!$P$58/Summary!$P$59)*10^3</f>
        <v>72.808421052631587</v>
      </c>
      <c r="AA34" s="15">
        <f>(Z34)/(AVERAGE($M34:$M35))</f>
        <v>68.364714603410093</v>
      </c>
      <c r="AB34" s="40">
        <f>T34/S34</f>
        <v>5.4862842892768082</v>
      </c>
      <c r="AC34" s="40">
        <f>(T34-U34)/(Summary!$P$55)*Summary!$P$57*(Summary!$P$58/Summary!$P$59)*10^3</f>
        <v>76.108421052631584</v>
      </c>
      <c r="AD34" s="15">
        <f>(AC34)/(AVERAGE($M34:$M35))</f>
        <v>71.463306152705869</v>
      </c>
      <c r="AE34" s="40">
        <f>W34/V34</f>
        <v>5.4933333333333332</v>
      </c>
      <c r="AF34" s="40">
        <f>(W34-X34)/(Summary!$P$55)*Summary!$P$57*(Summary!$P$58/Summary!$P$59)*10^3</f>
        <v>71.28</v>
      </c>
      <c r="AG34" s="15">
        <f>(AF34)/(AVERAGE($M34:$M35))</f>
        <v>66.929577464788878</v>
      </c>
      <c r="AH34" s="41">
        <f t="shared" si="57"/>
        <v>5.562046453913525</v>
      </c>
      <c r="AI34" s="41">
        <f>AVERAGE(Z34,AC34,AF34)</f>
        <v>73.398947368421062</v>
      </c>
      <c r="AJ34" s="41">
        <f t="shared" si="59"/>
        <v>68.919199406968275</v>
      </c>
    </row>
    <row r="35" spans="1:36" s="8" customFormat="1" x14ac:dyDescent="0.35">
      <c r="A35" s="12">
        <v>43203</v>
      </c>
      <c r="B35" s="13">
        <v>0.3125</v>
      </c>
      <c r="C35" s="18">
        <v>40</v>
      </c>
      <c r="D35" s="7">
        <v>1.248</v>
      </c>
      <c r="E35" s="7">
        <v>1.2589999999999999</v>
      </c>
      <c r="F35" s="9">
        <f t="shared" si="23"/>
        <v>1.2534999999999998</v>
      </c>
      <c r="G35" s="9">
        <v>426</v>
      </c>
      <c r="H35" s="9">
        <v>1481.5</v>
      </c>
      <c r="I35" s="9">
        <v>1486.4</v>
      </c>
      <c r="J35" s="9">
        <v>1465.5</v>
      </c>
      <c r="K35" s="9">
        <v>1471.1</v>
      </c>
      <c r="L35" s="9">
        <v>5</v>
      </c>
      <c r="M35" s="9">
        <f>(((I35-H35)/L35)+((K35-J35)/L35))/2</f>
        <v>1.05</v>
      </c>
      <c r="N35" s="15">
        <f>IF(M35&gt;0,((M35*G35)/400),((((#REF!+M36)/2)*G35)/400))</f>
        <v>1.11825</v>
      </c>
      <c r="O35" s="15">
        <f t="shared" si="56"/>
        <v>1.0649999999999999</v>
      </c>
      <c r="P35" s="14">
        <v>0.432</v>
      </c>
      <c r="Q35" s="14">
        <v>2.2400000000000002</v>
      </c>
      <c r="R35" s="14">
        <v>3.0000000000000001E-3</v>
      </c>
      <c r="S35" s="14">
        <v>0.46</v>
      </c>
      <c r="T35" s="14">
        <v>2.3199999999999998</v>
      </c>
      <c r="U35" s="14">
        <v>0.01</v>
      </c>
      <c r="V35" s="14">
        <v>0.45</v>
      </c>
      <c r="W35" s="14">
        <v>2</v>
      </c>
      <c r="X35" s="14">
        <v>6.0000000000000001E-3</v>
      </c>
      <c r="Y35" s="40">
        <f t="shared" ref="Y35:Y36" si="65">Q35/P35</f>
        <v>5.185185185185186</v>
      </c>
      <c r="Z35" s="40">
        <f>(Q35-R35)/(Summary!$P$55)*Summary!$P$57*(Summary!$P$58/Summary!$P$59)*10^3</f>
        <v>77.706315789473692</v>
      </c>
      <c r="AA35" s="15">
        <f>(Z35)/(AVERAGE($M34:$M36))</f>
        <v>72.96367679762804</v>
      </c>
      <c r="AB35" s="40">
        <f t="shared" ref="AB35:AB36" si="66">T35/S35</f>
        <v>5.0434782608695645</v>
      </c>
      <c r="AC35" s="40">
        <f>(T35-U35)/(Summary!$P$55)*Summary!$P$57*(Summary!$P$58/Summary!$P$59)*10^3</f>
        <v>80.242105263157896</v>
      </c>
      <c r="AD35" s="15">
        <f>(AC35)/(AVERAGE($M34:$M36))</f>
        <v>75.344699777613215</v>
      </c>
      <c r="AE35" s="40">
        <f t="shared" ref="AE35:AE36" si="67">W35/V35</f>
        <v>4.4444444444444446</v>
      </c>
      <c r="AF35" s="40">
        <f>(W35-X35)/(Summary!$P$55)*Summary!$P$57*(Summary!$P$58/Summary!$P$59)*10^3</f>
        <v>69.265263157894736</v>
      </c>
      <c r="AG35" s="15">
        <f>(AF35)/(AVERAGE($M34:$M35))</f>
        <v>65.037805782060929</v>
      </c>
      <c r="AH35" s="41">
        <f t="shared" si="57"/>
        <v>4.8910359634997311</v>
      </c>
      <c r="AI35" s="41">
        <f t="shared" ref="AI35:AI36" si="68">AVERAGE(Z35,AC35,AF35)</f>
        <v>75.737894736842108</v>
      </c>
      <c r="AJ35" s="41">
        <f t="shared" si="59"/>
        <v>71.115394119100728</v>
      </c>
    </row>
    <row r="36" spans="1:36" s="8" customFormat="1" x14ac:dyDescent="0.35">
      <c r="A36" s="12">
        <v>43204</v>
      </c>
      <c r="B36" s="13">
        <v>0.3125</v>
      </c>
      <c r="C36" s="18">
        <v>40</v>
      </c>
      <c r="D36" s="7">
        <v>1.264</v>
      </c>
      <c r="E36" s="7">
        <v>1.28</v>
      </c>
      <c r="F36" s="9">
        <f t="shared" si="23"/>
        <v>1.272</v>
      </c>
      <c r="G36" s="9">
        <v>417</v>
      </c>
      <c r="H36" s="9"/>
      <c r="I36" s="9"/>
      <c r="J36" s="9"/>
      <c r="K36" s="9"/>
      <c r="L36" s="9"/>
      <c r="M36" s="9"/>
      <c r="N36" s="15">
        <f>IF(M36&gt;0,((M36*G36)/400),((((M34+M35)/2)*G36)/400))</f>
        <v>1.1102624999999977</v>
      </c>
      <c r="O36" s="15">
        <f>G36/400</f>
        <v>1.0425</v>
      </c>
      <c r="P36" s="14">
        <v>0.43</v>
      </c>
      <c r="Q36" s="14">
        <v>2.2999999999999998</v>
      </c>
      <c r="R36" s="14">
        <v>8.9999999999999993E-3</v>
      </c>
      <c r="S36" s="14">
        <v>0.47099999999999997</v>
      </c>
      <c r="T36" s="14">
        <v>2.2000000000000002</v>
      </c>
      <c r="U36" s="14">
        <v>5.0000000000000001E-3</v>
      </c>
      <c r="V36" s="14">
        <v>0.43099999999999999</v>
      </c>
      <c r="W36" s="14">
        <v>2.16</v>
      </c>
      <c r="X36" s="14">
        <v>7.0000000000000001E-3</v>
      </c>
      <c r="Y36" s="40">
        <f t="shared" si="65"/>
        <v>5.3488372093023253</v>
      </c>
      <c r="Z36" s="40">
        <f>(Q36-R36)/(Summary!$P$55)*Summary!$P$57*(Summary!$P$58/Summary!$P$59)*10^3</f>
        <v>79.582105263157899</v>
      </c>
      <c r="AA36" s="15">
        <f>(Z36)/(AVERAGE($M34:$M36))</f>
        <v>74.724981467754063</v>
      </c>
      <c r="AB36" s="40">
        <f t="shared" si="66"/>
        <v>4.670912951167729</v>
      </c>
      <c r="AC36" s="40">
        <f>(T36-U36)/(Summary!$P$55)*Summary!$P$57*(Summary!$P$58/Summary!$P$59)*10^3</f>
        <v>76.247368421052641</v>
      </c>
      <c r="AD36" s="15">
        <f>(AC36)/(AVERAGE($M34:$M36))</f>
        <v>71.593773165307795</v>
      </c>
      <c r="AE36" s="40">
        <f t="shared" si="67"/>
        <v>5.0116009280742464</v>
      </c>
      <c r="AF36" s="40">
        <f>(W36-X36)/(Summary!$P$55)*Summary!$P$57*(Summary!$P$58/Summary!$P$59)*10^3</f>
        <v>74.788421052631591</v>
      </c>
      <c r="AG36" s="15">
        <f>(AF36)/(AVERAGE($M34:$M35))</f>
        <v>70.223869532987564</v>
      </c>
      <c r="AH36" s="41">
        <f t="shared" si="57"/>
        <v>5.0104503628480996</v>
      </c>
      <c r="AI36" s="41">
        <f t="shared" si="68"/>
        <v>76.872631578947377</v>
      </c>
      <c r="AJ36" s="41">
        <f t="shared" si="59"/>
        <v>72.180874722016483</v>
      </c>
    </row>
  </sheetData>
  <mergeCells count="2">
    <mergeCell ref="H1:M1"/>
    <mergeCell ref="P1:A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G27" sqref="G27"/>
    </sheetView>
  </sheetViews>
  <sheetFormatPr defaultColWidth="10.83203125" defaultRowHeight="15.5" x14ac:dyDescent="0.35"/>
  <cols>
    <col min="1" max="1" width="10.83203125" style="1"/>
    <col min="2" max="2" width="12.33203125" style="1" bestFit="1" customWidth="1"/>
    <col min="3" max="16384" width="10.83203125" style="1"/>
  </cols>
  <sheetData>
    <row r="1" spans="1:7" ht="16" thickBot="1" x14ac:dyDescent="0.4">
      <c r="A1" s="3" t="s">
        <v>86</v>
      </c>
    </row>
    <row r="2" spans="1:7" ht="16" thickBot="1" x14ac:dyDescent="0.4">
      <c r="A2" s="44"/>
      <c r="B2" s="44"/>
      <c r="C2" s="44" t="s">
        <v>78</v>
      </c>
      <c r="D2" s="44" t="s">
        <v>6</v>
      </c>
      <c r="E2" s="44" t="s">
        <v>79</v>
      </c>
      <c r="F2" s="44" t="s">
        <v>7</v>
      </c>
      <c r="G2" s="44" t="s">
        <v>80</v>
      </c>
    </row>
    <row r="3" spans="1:7" ht="16" thickBot="1" x14ac:dyDescent="0.4">
      <c r="A3" s="90" t="s">
        <v>81</v>
      </c>
      <c r="B3" s="46" t="s">
        <v>8</v>
      </c>
      <c r="C3" s="48">
        <v>2.113</v>
      </c>
      <c r="D3" s="46">
        <v>5</v>
      </c>
      <c r="E3" s="48">
        <v>0.42299999999999999</v>
      </c>
      <c r="F3" s="46">
        <v>868.41600000000005</v>
      </c>
      <c r="G3" s="51">
        <v>0</v>
      </c>
    </row>
    <row r="4" spans="1:7" ht="16" thickBot="1" x14ac:dyDescent="0.4">
      <c r="A4" s="92"/>
      <c r="B4" s="45" t="s">
        <v>9</v>
      </c>
      <c r="C4" s="49">
        <v>0.05</v>
      </c>
      <c r="D4" s="45">
        <v>102</v>
      </c>
      <c r="E4" s="49">
        <v>0</v>
      </c>
      <c r="F4" s="45"/>
      <c r="G4" s="52"/>
    </row>
    <row r="5" spans="1:7" ht="16" thickBot="1" x14ac:dyDescent="0.4">
      <c r="A5" s="91"/>
      <c r="B5" s="44" t="s">
        <v>10</v>
      </c>
      <c r="C5" s="50">
        <v>2.1629999999999998</v>
      </c>
      <c r="D5" s="44">
        <v>107</v>
      </c>
      <c r="E5" s="50"/>
      <c r="F5" s="44"/>
      <c r="G5" s="53"/>
    </row>
    <row r="6" spans="1:7" ht="16" thickBot="1" x14ac:dyDescent="0.4">
      <c r="A6" s="90" t="s">
        <v>82</v>
      </c>
      <c r="B6" s="45" t="s">
        <v>8</v>
      </c>
      <c r="C6" s="49">
        <v>56347.360000000001</v>
      </c>
      <c r="D6" s="45">
        <v>5</v>
      </c>
      <c r="E6" s="49">
        <v>11269.472</v>
      </c>
      <c r="F6" s="45">
        <v>2204.9279999999999</v>
      </c>
      <c r="G6" s="52">
        <v>0</v>
      </c>
    </row>
    <row r="7" spans="1:7" ht="16" thickBot="1" x14ac:dyDescent="0.4">
      <c r="A7" s="92"/>
      <c r="B7" s="44" t="s">
        <v>9</v>
      </c>
      <c r="C7" s="50">
        <v>521.32600000000002</v>
      </c>
      <c r="D7" s="44">
        <v>102</v>
      </c>
      <c r="E7" s="50">
        <v>5.1109999999999998</v>
      </c>
      <c r="F7" s="44"/>
      <c r="G7" s="50"/>
    </row>
    <row r="8" spans="1:7" ht="16" thickBot="1" x14ac:dyDescent="0.4">
      <c r="A8" s="91"/>
      <c r="B8" s="45" t="s">
        <v>10</v>
      </c>
      <c r="C8" s="49">
        <v>56868.686000000002</v>
      </c>
      <c r="D8" s="45">
        <v>107</v>
      </c>
      <c r="E8" s="49"/>
      <c r="F8" s="45"/>
      <c r="G8" s="49"/>
    </row>
    <row r="9" spans="1:7" ht="16" thickBot="1" x14ac:dyDescent="0.4">
      <c r="A9" s="90" t="s">
        <v>71</v>
      </c>
      <c r="B9" s="44" t="s">
        <v>8</v>
      </c>
      <c r="C9" s="50">
        <v>451.52699999999999</v>
      </c>
      <c r="D9" s="44">
        <v>5</v>
      </c>
      <c r="E9" s="50">
        <v>90.305000000000007</v>
      </c>
      <c r="F9" s="44">
        <v>317.92500000000001</v>
      </c>
      <c r="G9" s="53">
        <v>0</v>
      </c>
    </row>
    <row r="10" spans="1:7" ht="16" thickBot="1" x14ac:dyDescent="0.4">
      <c r="A10" s="92"/>
      <c r="B10" s="45" t="s">
        <v>9</v>
      </c>
      <c r="C10" s="49">
        <v>28.972999999999999</v>
      </c>
      <c r="D10" s="45">
        <v>102</v>
      </c>
      <c r="E10" s="49">
        <v>0.28399999999999997</v>
      </c>
      <c r="F10" s="45"/>
      <c r="G10" s="52"/>
    </row>
    <row r="11" spans="1:7" ht="16" thickBot="1" x14ac:dyDescent="0.4">
      <c r="A11" s="91"/>
      <c r="B11" s="44" t="s">
        <v>10</v>
      </c>
      <c r="C11" s="50">
        <v>480.5</v>
      </c>
      <c r="D11" s="44">
        <v>107</v>
      </c>
      <c r="E11" s="50"/>
      <c r="F11" s="44"/>
      <c r="G11" s="53"/>
    </row>
    <row r="13" spans="1:7" ht="16" thickBot="1" x14ac:dyDescent="0.4">
      <c r="A13" s="55" t="s">
        <v>95</v>
      </c>
    </row>
    <row r="14" spans="1:7" ht="16" thickBot="1" x14ac:dyDescent="0.4">
      <c r="A14" s="47"/>
      <c r="B14" s="44"/>
      <c r="C14" s="44" t="s">
        <v>2</v>
      </c>
      <c r="D14" s="44" t="s">
        <v>81</v>
      </c>
      <c r="E14" s="44" t="s">
        <v>83</v>
      </c>
      <c r="F14" s="44" t="s">
        <v>71</v>
      </c>
    </row>
    <row r="15" spans="1:7" ht="16" thickBot="1" x14ac:dyDescent="0.4">
      <c r="A15" s="90" t="s">
        <v>2</v>
      </c>
      <c r="B15" s="46" t="s">
        <v>72</v>
      </c>
      <c r="C15" s="56">
        <v>1</v>
      </c>
      <c r="D15" s="56">
        <v>0.16200000000000001</v>
      </c>
      <c r="E15" s="57" t="s">
        <v>96</v>
      </c>
      <c r="F15" s="57" t="s">
        <v>97</v>
      </c>
    </row>
    <row r="16" spans="1:7" ht="16" thickBot="1" x14ac:dyDescent="0.4">
      <c r="A16" s="91"/>
      <c r="B16" s="45" t="s">
        <v>73</v>
      </c>
      <c r="C16" s="58"/>
      <c r="D16" s="58">
        <v>9.4E-2</v>
      </c>
      <c r="E16" s="59">
        <v>0</v>
      </c>
      <c r="F16" s="59">
        <v>0</v>
      </c>
    </row>
    <row r="17" spans="1:6" ht="16" thickBot="1" x14ac:dyDescent="0.4">
      <c r="A17" s="90" t="s">
        <v>81</v>
      </c>
      <c r="B17" s="44" t="s">
        <v>72</v>
      </c>
      <c r="C17" s="60">
        <v>0.16200000000000001</v>
      </c>
      <c r="D17" s="60">
        <v>1</v>
      </c>
      <c r="E17" s="61" t="s">
        <v>98</v>
      </c>
      <c r="F17" s="61" t="s">
        <v>99</v>
      </c>
    </row>
    <row r="18" spans="1:6" ht="16" thickBot="1" x14ac:dyDescent="0.4">
      <c r="A18" s="91"/>
      <c r="B18" s="45" t="s">
        <v>73</v>
      </c>
      <c r="C18" s="58">
        <v>9.4E-2</v>
      </c>
      <c r="D18" s="58"/>
      <c r="E18" s="59">
        <v>0</v>
      </c>
      <c r="F18" s="59">
        <v>0</v>
      </c>
    </row>
    <row r="19" spans="1:6" ht="16" thickBot="1" x14ac:dyDescent="0.4">
      <c r="A19" s="90" t="s">
        <v>82</v>
      </c>
      <c r="B19" s="44" t="s">
        <v>72</v>
      </c>
      <c r="C19" s="61" t="s">
        <v>96</v>
      </c>
      <c r="D19" s="61" t="s">
        <v>98</v>
      </c>
      <c r="E19" s="60">
        <v>1</v>
      </c>
      <c r="F19" s="61" t="s">
        <v>100</v>
      </c>
    </row>
    <row r="20" spans="1:6" ht="16" thickBot="1" x14ac:dyDescent="0.4">
      <c r="A20" s="91"/>
      <c r="B20" s="45" t="s">
        <v>73</v>
      </c>
      <c r="C20" s="59">
        <v>0</v>
      </c>
      <c r="D20" s="59">
        <v>0</v>
      </c>
      <c r="E20" s="58"/>
      <c r="F20" s="59">
        <v>0</v>
      </c>
    </row>
    <row r="21" spans="1:6" ht="16" thickBot="1" x14ac:dyDescent="0.4">
      <c r="A21" s="90" t="s">
        <v>71</v>
      </c>
      <c r="B21" s="44" t="s">
        <v>72</v>
      </c>
      <c r="C21" s="61" t="s">
        <v>97</v>
      </c>
      <c r="D21" s="61" t="s">
        <v>99</v>
      </c>
      <c r="E21" s="61" t="s">
        <v>100</v>
      </c>
      <c r="F21" s="60">
        <v>1</v>
      </c>
    </row>
    <row r="22" spans="1:6" ht="16" thickBot="1" x14ac:dyDescent="0.4">
      <c r="A22" s="91"/>
      <c r="B22" s="46" t="s">
        <v>73</v>
      </c>
      <c r="C22" s="62">
        <v>0</v>
      </c>
      <c r="D22" s="62">
        <v>0</v>
      </c>
      <c r="E22" s="62">
        <v>0</v>
      </c>
      <c r="F22" s="56"/>
    </row>
    <row r="23" spans="1:6" x14ac:dyDescent="0.35">
      <c r="A23" s="65" t="s">
        <v>74</v>
      </c>
    </row>
  </sheetData>
  <mergeCells count="7">
    <mergeCell ref="A21:A22"/>
    <mergeCell ref="A3:A5"/>
    <mergeCell ref="A6:A8"/>
    <mergeCell ref="A9:A11"/>
    <mergeCell ref="A15:A16"/>
    <mergeCell ref="A17:A18"/>
    <mergeCell ref="A19:A20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workbookViewId="0">
      <selection activeCell="F35" sqref="F35"/>
    </sheetView>
  </sheetViews>
  <sheetFormatPr defaultColWidth="10.83203125" defaultRowHeight="15.5" x14ac:dyDescent="0.35"/>
  <cols>
    <col min="1" max="1" width="10.83203125" style="1"/>
    <col min="2" max="2" width="14.5" style="1" bestFit="1" customWidth="1"/>
    <col min="3" max="3" width="11.5" style="1" bestFit="1" customWidth="1"/>
    <col min="4" max="16384" width="10.83203125" style="1"/>
  </cols>
  <sheetData>
    <row r="1" spans="1:7" ht="16" thickBot="1" x14ac:dyDescent="0.4">
      <c r="A1" s="55" t="s">
        <v>85</v>
      </c>
      <c r="B1" s="54"/>
      <c r="C1" s="54"/>
      <c r="D1" s="54"/>
      <c r="E1" s="54"/>
      <c r="F1" s="54"/>
      <c r="G1" s="54"/>
    </row>
    <row r="2" spans="1:7" ht="16" thickBot="1" x14ac:dyDescent="0.4">
      <c r="A2" s="44"/>
      <c r="B2" s="44"/>
      <c r="C2" s="44" t="s">
        <v>78</v>
      </c>
      <c r="D2" s="44" t="s">
        <v>6</v>
      </c>
      <c r="E2" s="44" t="s">
        <v>79</v>
      </c>
      <c r="F2" s="44" t="s">
        <v>7</v>
      </c>
      <c r="G2" s="44" t="s">
        <v>80</v>
      </c>
    </row>
    <row r="3" spans="1:7" ht="16" thickBot="1" x14ac:dyDescent="0.4">
      <c r="A3" s="90" t="s">
        <v>81</v>
      </c>
      <c r="B3" s="46" t="s">
        <v>8</v>
      </c>
      <c r="C3" s="48">
        <v>4.6909999999999998</v>
      </c>
      <c r="D3" s="46">
        <v>4</v>
      </c>
      <c r="E3" s="48">
        <v>1.173</v>
      </c>
      <c r="F3" s="46">
        <v>3010.8440000000001</v>
      </c>
      <c r="G3" s="51">
        <v>0</v>
      </c>
    </row>
    <row r="4" spans="1:7" ht="16" thickBot="1" x14ac:dyDescent="0.4">
      <c r="A4" s="92"/>
      <c r="B4" s="45" t="s">
        <v>9</v>
      </c>
      <c r="C4" s="49">
        <v>3.3000000000000002E-2</v>
      </c>
      <c r="D4" s="45">
        <v>85</v>
      </c>
      <c r="E4" s="49">
        <v>0</v>
      </c>
      <c r="F4" s="45"/>
      <c r="G4" s="52"/>
    </row>
    <row r="5" spans="1:7" ht="16" thickBot="1" x14ac:dyDescent="0.4">
      <c r="A5" s="91"/>
      <c r="B5" s="44" t="s">
        <v>10</v>
      </c>
      <c r="C5" s="50">
        <v>4.7240000000000002</v>
      </c>
      <c r="D5" s="44">
        <v>89</v>
      </c>
      <c r="E5" s="50"/>
      <c r="F5" s="44"/>
      <c r="G5" s="53"/>
    </row>
    <row r="6" spans="1:7" ht="16" thickBot="1" x14ac:dyDescent="0.4">
      <c r="A6" s="90" t="s">
        <v>83</v>
      </c>
      <c r="B6" s="45" t="s">
        <v>8</v>
      </c>
      <c r="C6" s="49">
        <v>32856.962</v>
      </c>
      <c r="D6" s="45">
        <v>4</v>
      </c>
      <c r="E6" s="49">
        <v>8214.24</v>
      </c>
      <c r="F6" s="45">
        <v>1344.261</v>
      </c>
      <c r="G6" s="52">
        <v>0</v>
      </c>
    </row>
    <row r="7" spans="1:7" ht="16" thickBot="1" x14ac:dyDescent="0.4">
      <c r="A7" s="92"/>
      <c r="B7" s="44" t="s">
        <v>9</v>
      </c>
      <c r="C7" s="50">
        <v>519.40099999999995</v>
      </c>
      <c r="D7" s="44">
        <v>85</v>
      </c>
      <c r="E7" s="50">
        <v>6.1109999999999998</v>
      </c>
      <c r="F7" s="44"/>
      <c r="G7" s="53"/>
    </row>
    <row r="8" spans="1:7" ht="16" thickBot="1" x14ac:dyDescent="0.4">
      <c r="A8" s="91"/>
      <c r="B8" s="45" t="s">
        <v>10</v>
      </c>
      <c r="C8" s="49">
        <v>33376.362999999998</v>
      </c>
      <c r="D8" s="45">
        <v>89</v>
      </c>
      <c r="E8" s="49"/>
      <c r="F8" s="45"/>
      <c r="G8" s="52"/>
    </row>
    <row r="9" spans="1:7" ht="16" thickBot="1" x14ac:dyDescent="0.4">
      <c r="A9" s="90" t="s">
        <v>84</v>
      </c>
      <c r="B9" s="44" t="s">
        <v>8</v>
      </c>
      <c r="C9" s="50">
        <v>150.44300000000001</v>
      </c>
      <c r="D9" s="44">
        <v>4</v>
      </c>
      <c r="E9" s="50">
        <v>37.610999999999997</v>
      </c>
      <c r="F9" s="44">
        <v>232.81200000000001</v>
      </c>
      <c r="G9" s="53">
        <v>0</v>
      </c>
    </row>
    <row r="10" spans="1:7" ht="16" thickBot="1" x14ac:dyDescent="0.4">
      <c r="A10" s="92"/>
      <c r="B10" s="45" t="s">
        <v>9</v>
      </c>
      <c r="C10" s="49">
        <v>13.731999999999999</v>
      </c>
      <c r="D10" s="45">
        <v>85</v>
      </c>
      <c r="E10" s="49">
        <v>0.16200000000000001</v>
      </c>
      <c r="F10" s="45"/>
      <c r="G10" s="49"/>
    </row>
    <row r="11" spans="1:7" ht="16" thickBot="1" x14ac:dyDescent="0.4">
      <c r="A11" s="91"/>
      <c r="B11" s="44" t="s">
        <v>10</v>
      </c>
      <c r="C11" s="50">
        <v>164.17400000000001</v>
      </c>
      <c r="D11" s="44">
        <v>89</v>
      </c>
      <c r="E11" s="50"/>
      <c r="F11" s="44"/>
      <c r="G11" s="50"/>
    </row>
    <row r="13" spans="1:7" ht="16" thickBot="1" x14ac:dyDescent="0.4">
      <c r="A13" s="55" t="s">
        <v>94</v>
      </c>
    </row>
    <row r="14" spans="1:7" ht="16" thickBot="1" x14ac:dyDescent="0.4">
      <c r="A14" s="47"/>
      <c r="B14" s="44"/>
      <c r="C14" s="44" t="s">
        <v>4</v>
      </c>
      <c r="D14" s="44" t="s">
        <v>81</v>
      </c>
      <c r="E14" s="44" t="s">
        <v>83</v>
      </c>
      <c r="F14" s="44" t="s">
        <v>71</v>
      </c>
    </row>
    <row r="15" spans="1:7" ht="16" thickBot="1" x14ac:dyDescent="0.4">
      <c r="A15" s="90" t="s">
        <v>87</v>
      </c>
      <c r="B15" s="46" t="s">
        <v>72</v>
      </c>
      <c r="C15" s="63">
        <v>1</v>
      </c>
      <c r="D15" s="57" t="s">
        <v>88</v>
      </c>
      <c r="E15" s="57" t="s">
        <v>89</v>
      </c>
      <c r="F15" s="57" t="s">
        <v>90</v>
      </c>
    </row>
    <row r="16" spans="1:7" ht="16" thickBot="1" x14ac:dyDescent="0.4">
      <c r="A16" s="91"/>
      <c r="B16" s="45" t="s">
        <v>73</v>
      </c>
      <c r="C16" s="58"/>
      <c r="D16" s="59">
        <v>0</v>
      </c>
      <c r="E16" s="59">
        <v>0</v>
      </c>
      <c r="F16" s="59">
        <v>0</v>
      </c>
    </row>
    <row r="17" spans="1:6" ht="16" thickBot="1" x14ac:dyDescent="0.4">
      <c r="A17" s="90" t="s">
        <v>81</v>
      </c>
      <c r="B17" s="44" t="s">
        <v>72</v>
      </c>
      <c r="C17" s="61" t="s">
        <v>88</v>
      </c>
      <c r="D17" s="60">
        <v>1</v>
      </c>
      <c r="E17" s="61" t="s">
        <v>91</v>
      </c>
      <c r="F17" s="61" t="s">
        <v>92</v>
      </c>
    </row>
    <row r="18" spans="1:6" ht="16" thickBot="1" x14ac:dyDescent="0.4">
      <c r="A18" s="91"/>
      <c r="B18" s="45" t="s">
        <v>73</v>
      </c>
      <c r="C18" s="59">
        <v>0</v>
      </c>
      <c r="D18" s="58"/>
      <c r="E18" s="59">
        <v>0</v>
      </c>
      <c r="F18" s="59">
        <v>0</v>
      </c>
    </row>
    <row r="19" spans="1:6" ht="16" thickBot="1" x14ac:dyDescent="0.4">
      <c r="A19" s="90" t="s">
        <v>82</v>
      </c>
      <c r="B19" s="44" t="s">
        <v>72</v>
      </c>
      <c r="C19" s="61" t="s">
        <v>89</v>
      </c>
      <c r="D19" s="61" t="s">
        <v>91</v>
      </c>
      <c r="E19" s="64">
        <v>1</v>
      </c>
      <c r="F19" s="61" t="s">
        <v>93</v>
      </c>
    </row>
    <row r="20" spans="1:6" ht="16" thickBot="1" x14ac:dyDescent="0.4">
      <c r="A20" s="91"/>
      <c r="B20" s="45" t="s">
        <v>73</v>
      </c>
      <c r="C20" s="59">
        <v>0</v>
      </c>
      <c r="D20" s="59">
        <v>0</v>
      </c>
      <c r="E20" s="58"/>
      <c r="F20" s="59">
        <v>0</v>
      </c>
    </row>
    <row r="21" spans="1:6" ht="16" thickBot="1" x14ac:dyDescent="0.4">
      <c r="A21" s="90" t="s">
        <v>71</v>
      </c>
      <c r="B21" s="44" t="s">
        <v>72</v>
      </c>
      <c r="C21" s="61" t="s">
        <v>90</v>
      </c>
      <c r="D21" s="61" t="s">
        <v>92</v>
      </c>
      <c r="E21" s="61" t="s">
        <v>93</v>
      </c>
      <c r="F21" s="64">
        <v>1</v>
      </c>
    </row>
    <row r="22" spans="1:6" ht="16" thickBot="1" x14ac:dyDescent="0.4">
      <c r="A22" s="91"/>
      <c r="B22" s="46" t="s">
        <v>73</v>
      </c>
      <c r="C22" s="62">
        <v>0</v>
      </c>
      <c r="D22" s="62">
        <v>0</v>
      </c>
      <c r="E22" s="62">
        <v>0</v>
      </c>
      <c r="F22" s="62"/>
    </row>
    <row r="23" spans="1:6" x14ac:dyDescent="0.35">
      <c r="A23" s="65" t="s">
        <v>74</v>
      </c>
    </row>
  </sheetData>
  <mergeCells count="7">
    <mergeCell ref="A21:A22"/>
    <mergeCell ref="A3:A5"/>
    <mergeCell ref="A6:A8"/>
    <mergeCell ref="A9:A11"/>
    <mergeCell ref="A15:A16"/>
    <mergeCell ref="A17:A18"/>
    <mergeCell ref="A19:A2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Light all data</vt:lpstr>
      <vt:lpstr>Temp_all_data</vt:lpstr>
      <vt:lpstr>SPSS_Light</vt:lpstr>
      <vt:lpstr>SPSS_Temp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Schipper</dc:creator>
  <cp:lastModifiedBy>MUHAMMAD REHAN KHALID</cp:lastModifiedBy>
  <dcterms:created xsi:type="dcterms:W3CDTF">2018-10-28T10:06:57Z</dcterms:created>
  <dcterms:modified xsi:type="dcterms:W3CDTF">2025-10-11T00:23:12Z</dcterms:modified>
</cp:coreProperties>
</file>