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WEBSITE\WEB PERHITUNGAN\"/>
    </mc:Choice>
  </mc:AlternateContent>
  <xr:revisionPtr revIDLastSave="0" documentId="13_ncr:1_{F8003FC9-AA48-4B0B-B8D8-C164DDBC4FFB}" xr6:coauthVersionLast="47" xr6:coauthVersionMax="47" xr10:uidLastSave="{00000000-0000-0000-0000-000000000000}"/>
  <bookViews>
    <workbookView xWindow="0" yWindow="0" windowWidth="11520" windowHeight="12504" firstSheet="1" activeTab="1" xr2:uid="{BE6683C0-A486-490A-A1C7-648DA659BE67}"/>
  </bookViews>
  <sheets>
    <sheet name="Tabel WF" sheetId="1" r:id="rId1"/>
    <sheet name="WF" sheetId="2" r:id="rId2"/>
  </sheets>
  <externalReferences>
    <externalReference r:id="rId3"/>
  </externalReferences>
  <definedNames>
    <definedName name="_xlnm._FilterDatabase" localSheetId="0" hidden="1">'Tabel WF'!$A$3:$F$3</definedName>
    <definedName name="_xlnm._FilterDatabase" localSheetId="1" hidden="1">WF!#REF!</definedName>
    <definedName name="A">[1]CNP!#REF!</definedName>
    <definedName name="_xlnm.Print_Area" localSheetId="1">WF!$A$1:$L$492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2" l="1"/>
  <c r="I157" i="2"/>
  <c r="I156" i="2"/>
  <c r="I155" i="2"/>
  <c r="I154" i="2"/>
  <c r="I153" i="2"/>
  <c r="I152" i="2"/>
  <c r="I151" i="2"/>
  <c r="I150" i="2"/>
  <c r="I149" i="2"/>
  <c r="I143" i="2"/>
  <c r="I142" i="2"/>
  <c r="I141" i="2"/>
  <c r="I140" i="2"/>
  <c r="I139" i="2"/>
  <c r="I138" i="2"/>
  <c r="I137" i="2"/>
  <c r="I136" i="2"/>
  <c r="I135" i="2"/>
  <c r="I134" i="2"/>
  <c r="I133" i="2"/>
  <c r="F118" i="2" a="1"/>
  <c r="F118" i="2" s="1"/>
  <c r="F128" i="2" a="1"/>
  <c r="F128" i="2" s="1"/>
  <c r="E39" i="2"/>
  <c r="I354" i="2" l="1" a="1"/>
  <c r="I354" i="2" s="1"/>
  <c r="I364" i="2"/>
  <c r="I325" i="2"/>
  <c r="I331" i="2" s="1" a="1"/>
  <c r="I331" i="2" s="1"/>
  <c r="I338" i="2" a="1"/>
  <c r="I338" i="2" s="1"/>
  <c r="I339" i="2" s="1" a="1"/>
  <c r="I339" i="2" s="1"/>
  <c r="I348" i="2"/>
  <c r="I355" i="2" a="1"/>
  <c r="I355" i="2" s="1"/>
  <c r="I483" i="2"/>
  <c r="I482" i="2"/>
  <c r="I481" i="2"/>
  <c r="A480" i="2" a="1"/>
  <c r="A480" i="2" s="1"/>
  <c r="I469" i="2"/>
  <c r="I468" i="2"/>
  <c r="I467" i="2"/>
  <c r="B466" i="2"/>
  <c r="B480" i="2" s="1"/>
  <c r="A466" i="2" a="1"/>
  <c r="A466" i="2" s="1"/>
  <c r="A465" i="2" a="1"/>
  <c r="A465" i="2" s="1"/>
  <c r="A463" i="2"/>
  <c r="A461" i="2"/>
  <c r="A459" i="2"/>
  <c r="A457" i="2" a="1"/>
  <c r="A457" i="2" s="1"/>
  <c r="A455" i="2"/>
  <c r="I453" i="2"/>
  <c r="A453" i="2"/>
  <c r="I451" i="2"/>
  <c r="A451" i="2"/>
  <c r="A449" i="2"/>
  <c r="A447" i="2"/>
  <c r="I444" i="2"/>
  <c r="B443" i="2"/>
  <c r="B457" i="2" s="1"/>
  <c r="A443" i="2" a="1"/>
  <c r="A443" i="2" s="1"/>
  <c r="A442" i="2" a="1"/>
  <c r="A442" i="2" s="1"/>
  <c r="B440" i="2"/>
  <c r="A440" i="2" a="1"/>
  <c r="A440" i="2" s="1"/>
  <c r="I436" i="2"/>
  <c r="I434" i="2"/>
  <c r="I432" i="2"/>
  <c r="A429" i="2" a="1"/>
  <c r="A429" i="2" s="1"/>
  <c r="A425" i="2" a="1"/>
  <c r="A425" i="2" s="1"/>
  <c r="I414" i="2"/>
  <c r="B403" i="2"/>
  <c r="B425" i="2" s="1"/>
  <c r="A403" i="2" a="1"/>
  <c r="A403" i="2" s="1"/>
  <c r="A402" i="2" a="1"/>
  <c r="A402" i="2" s="1"/>
  <c r="A395" i="2" a="1"/>
  <c r="A395" i="2" s="1"/>
  <c r="B389" i="2"/>
  <c r="B395" i="2" s="1"/>
  <c r="A389" i="2" a="1"/>
  <c r="A389" i="2" s="1"/>
  <c r="A388" i="2" a="1"/>
  <c r="A388" i="2" s="1"/>
  <c r="A384" i="2" a="1"/>
  <c r="A384" i="2" s="1"/>
  <c r="A377" i="2" a="1"/>
  <c r="A377" i="2" s="1"/>
  <c r="A370" i="2" a="1"/>
  <c r="A370" i="2" s="1"/>
  <c r="A366" i="2" a="1"/>
  <c r="A366" i="2" s="1"/>
  <c r="A362" i="2" a="1"/>
  <c r="A362" i="2" s="1"/>
  <c r="A357" i="2" a="1"/>
  <c r="A357" i="2" s="1"/>
  <c r="A350" i="2" a="1"/>
  <c r="A350" i="2" s="1"/>
  <c r="A346" i="2" a="1"/>
  <c r="A346" i="2" s="1"/>
  <c r="A341" i="2" a="1"/>
  <c r="A341" i="2" s="1"/>
  <c r="A334" i="2" a="1"/>
  <c r="A334" i="2" s="1"/>
  <c r="A327" i="2" a="1"/>
  <c r="A327" i="2" s="1"/>
  <c r="A323" i="2" a="1"/>
  <c r="A323" i="2" s="1"/>
  <c r="I304" i="2"/>
  <c r="B276" i="2"/>
  <c r="A276" i="2" a="1"/>
  <c r="A276" i="2" s="1"/>
  <c r="A275" i="2" a="1"/>
  <c r="A275" i="2" s="1"/>
  <c r="A267" i="2" a="1"/>
  <c r="A267" i="2" s="1"/>
  <c r="A261" i="2" a="1"/>
  <c r="A261" i="2" s="1"/>
  <c r="I255" i="2"/>
  <c r="I237" i="2"/>
  <c r="B236" i="2"/>
  <c r="B261" i="2" s="1"/>
  <c r="B267" i="2" s="1"/>
  <c r="A236" i="2" a="1"/>
  <c r="A236" i="2" s="1"/>
  <c r="A235" i="2" a="1"/>
  <c r="A235" i="2" s="1"/>
  <c r="A229" i="2" a="1"/>
  <c r="A229" i="2" s="1"/>
  <c r="A223" i="2" a="1"/>
  <c r="A223" i="2" s="1"/>
  <c r="I221" i="2"/>
  <c r="I219" i="2"/>
  <c r="I231" i="2" s="1"/>
  <c r="E62" i="2" s="1"/>
  <c r="B208" i="2"/>
  <c r="B223" i="2" s="1"/>
  <c r="A208" i="2" a="1"/>
  <c r="A208" i="2" s="1"/>
  <c r="A207" i="2" a="1"/>
  <c r="A207" i="2" s="1"/>
  <c r="F203" i="2"/>
  <c r="C203" i="2"/>
  <c r="F198" i="2"/>
  <c r="C198" i="2"/>
  <c r="A196" i="2" a="1"/>
  <c r="A196" i="2" s="1"/>
  <c r="G194" i="2"/>
  <c r="G193" i="2"/>
  <c r="G192" i="2"/>
  <c r="G188" i="2"/>
  <c r="G187" i="2"/>
  <c r="G186" i="2"/>
  <c r="A183" i="2" a="1"/>
  <c r="A183" i="2" s="1"/>
  <c r="G181" i="2"/>
  <c r="G180" i="2"/>
  <c r="G175" i="2"/>
  <c r="G174" i="2"/>
  <c r="A170" i="2" a="1"/>
  <c r="A170" i="2" s="1"/>
  <c r="G168" i="2"/>
  <c r="G167" i="2"/>
  <c r="G163" i="2"/>
  <c r="G162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A128" i="2" a="1"/>
  <c r="A128" i="2" s="1"/>
  <c r="I126" i="2"/>
  <c r="I124" i="2"/>
  <c r="A118" i="2" a="1"/>
  <c r="A118" i="2" s="1"/>
  <c r="I116" i="2"/>
  <c r="I114" i="2"/>
  <c r="A109" i="2" a="1"/>
  <c r="A109" i="2" s="1"/>
  <c r="G107" i="2"/>
  <c r="G106" i="2"/>
  <c r="G105" i="2"/>
  <c r="G104" i="2"/>
  <c r="G103" i="2"/>
  <c r="G99" i="2"/>
  <c r="G98" i="2"/>
  <c r="G97" i="2"/>
  <c r="G96" i="2"/>
  <c r="G95" i="2"/>
  <c r="I89" i="2"/>
  <c r="I81" i="2"/>
  <c r="A76" i="2" a="1"/>
  <c r="A76" i="2" s="1"/>
  <c r="A72" i="2" a="1"/>
  <c r="A72" i="2" s="1"/>
  <c r="G70" i="2"/>
  <c r="G69" i="2"/>
  <c r="G68" i="2"/>
  <c r="G67" i="2"/>
  <c r="G63" i="2"/>
  <c r="G62" i="2"/>
  <c r="G61" i="2"/>
  <c r="G60" i="2"/>
  <c r="A53" i="2" a="1"/>
  <c r="A53" i="2" s="1"/>
  <c r="I46" i="2"/>
  <c r="G50" i="2" s="1"/>
  <c r="B45" i="2"/>
  <c r="A45" i="2" a="1"/>
  <c r="A45" i="2" s="1"/>
  <c r="A44" i="2" a="1"/>
  <c r="A44" i="2" s="1"/>
  <c r="E25" i="2"/>
  <c r="E24" i="2"/>
  <c r="E23" i="2"/>
  <c r="E22" i="2"/>
  <c r="E21" i="2"/>
  <c r="A19" i="2" a="1"/>
  <c r="A19" i="2" s="1"/>
  <c r="I13" i="2"/>
  <c r="I12" i="2"/>
  <c r="I11" i="2"/>
  <c r="I10" i="2"/>
  <c r="I9" i="2"/>
  <c r="I8" i="2"/>
  <c r="I7" i="2"/>
  <c r="I6" i="2"/>
  <c r="I48" i="2" s="1"/>
  <c r="I50" i="2" s="1"/>
  <c r="B5" i="2"/>
  <c r="B19" i="2" s="1"/>
  <c r="A5" i="2" a="1"/>
  <c r="A5" i="2" s="1"/>
  <c r="A4" i="2" a="1"/>
  <c r="A4" i="2" s="1"/>
  <c r="A2" i="2"/>
  <c r="I233" i="2" l="1"/>
  <c r="E63" i="2" s="1"/>
  <c r="E26" i="2"/>
  <c r="I297" i="2" s="1"/>
  <c r="I319" i="2" s="1"/>
  <c r="I321" i="2" s="1"/>
  <c r="E69" i="2"/>
  <c r="F62" i="2"/>
  <c r="H62" i="2" s="1"/>
  <c r="E36" i="2"/>
  <c r="I391" i="2" s="1"/>
  <c r="I122" i="2"/>
  <c r="I112" i="2"/>
  <c r="B229" i="2"/>
  <c r="I411" i="2"/>
  <c r="G436" i="2"/>
  <c r="H436" i="2" s="1"/>
  <c r="H435" i="2" s="1"/>
  <c r="B53" i="2"/>
  <c r="B72" i="2" s="1"/>
  <c r="I407" i="2"/>
  <c r="E35" i="2"/>
  <c r="E132" i="2" s="1"/>
  <c r="E147" i="2" s="1"/>
  <c r="G434" i="2"/>
  <c r="H434" i="2" s="1"/>
  <c r="H433" i="2" s="1"/>
  <c r="H50" i="2"/>
  <c r="H51" i="2" s="1"/>
  <c r="E29" i="2"/>
  <c r="B429" i="2"/>
  <c r="E30" i="2"/>
  <c r="I413" i="2"/>
  <c r="E40" i="2"/>
  <c r="I87" i="2"/>
  <c r="I257" i="2" s="1"/>
  <c r="I404" i="2"/>
  <c r="I410" i="2" s="1"/>
  <c r="I406" i="2"/>
  <c r="E42" i="2"/>
  <c r="I79" i="2"/>
  <c r="I280" i="2"/>
  <c r="B323" i="2"/>
  <c r="I409" i="2"/>
  <c r="E27" i="2"/>
  <c r="F63" i="2" l="1"/>
  <c r="E70" i="2"/>
  <c r="F70" i="2" s="1"/>
  <c r="H70" i="2" s="1"/>
  <c r="F117" i="2" a="1"/>
  <c r="F117" i="2" s="1"/>
  <c r="F69" i="2"/>
  <c r="H69" i="2" s="1"/>
  <c r="F147" i="2"/>
  <c r="H147" i="2" s="1"/>
  <c r="F127" i="2" a="1"/>
  <c r="F127" i="2" s="1"/>
  <c r="I295" i="2"/>
  <c r="I315" i="2" s="1"/>
  <c r="F132" i="2"/>
  <c r="H132" i="2" s="1"/>
  <c r="B109" i="2"/>
  <c r="B170" i="2" s="1"/>
  <c r="B327" i="2"/>
  <c r="I62" i="2"/>
  <c r="H415" i="2"/>
  <c r="I420" i="2"/>
  <c r="I419" i="2"/>
  <c r="I412" i="2"/>
  <c r="H416" i="2" s="1"/>
  <c r="H430" i="2" s="1"/>
  <c r="D174" i="2"/>
  <c r="D180" i="2"/>
  <c r="F82" i="2" a="1"/>
  <c r="F82" i="2" s="1"/>
  <c r="F83" i="2" a="1"/>
  <c r="F83" i="2" s="1"/>
  <c r="E33" i="2"/>
  <c r="E31" i="2"/>
  <c r="E41" i="2" s="1"/>
  <c r="I244" i="2"/>
  <c r="I447" i="2"/>
  <c r="G432" i="2"/>
  <c r="H432" i="2" s="1"/>
  <c r="H431" i="2" s="1"/>
  <c r="I225" i="2"/>
  <c r="E60" i="2" s="1"/>
  <c r="F60" i="2" s="1"/>
  <c r="I60" i="2" s="1"/>
  <c r="I215" i="2"/>
  <c r="I217" i="2" s="1"/>
  <c r="I227" i="2" s="1"/>
  <c r="E61" i="2" s="1"/>
  <c r="F61" i="2" s="1"/>
  <c r="I61" i="2" s="1"/>
  <c r="E28" i="2"/>
  <c r="E34" i="2"/>
  <c r="I392" i="2" s="1"/>
  <c r="I393" i="2" s="1"/>
  <c r="E32" i="2"/>
  <c r="I282" i="2" s="1"/>
  <c r="F91" i="2" a="1"/>
  <c r="F91" i="2" s="1"/>
  <c r="F90" i="2" a="1"/>
  <c r="F90" i="2" s="1"/>
  <c r="G249" i="2"/>
  <c r="I292" i="2"/>
  <c r="I293" i="2" s="1"/>
  <c r="I63" i="2" l="1"/>
  <c r="H63" i="2"/>
  <c r="I70" i="2"/>
  <c r="G417" i="2"/>
  <c r="I418" i="2" s="1" a="1"/>
  <c r="I418" i="2" s="1"/>
  <c r="I427" i="2" s="1"/>
  <c r="I69" i="2"/>
  <c r="I386" i="2"/>
  <c r="E143" i="2" s="1"/>
  <c r="I368" i="2"/>
  <c r="E140" i="2" s="1"/>
  <c r="E155" i="2" s="1"/>
  <c r="F155" i="2" s="1"/>
  <c r="I147" i="2"/>
  <c r="I342" i="2"/>
  <c r="I344" i="2" s="1" a="1"/>
  <c r="I344" i="2" s="1"/>
  <c r="I358" i="2"/>
  <c r="I360" i="2" s="1" a="1"/>
  <c r="I360" i="2" s="1"/>
  <c r="I378" i="2"/>
  <c r="I396" i="2"/>
  <c r="I299" i="2"/>
  <c r="I374" i="2" s="1"/>
  <c r="I307" i="2"/>
  <c r="I132" i="2"/>
  <c r="I278" i="2"/>
  <c r="I302" i="2"/>
  <c r="F352" i="2" s="1" a="1"/>
  <c r="F352" i="2" s="1"/>
  <c r="B183" i="2"/>
  <c r="B196" i="2" s="1"/>
  <c r="B334" i="2"/>
  <c r="G421" i="2" a="1"/>
  <c r="G421" i="2" s="1"/>
  <c r="J422" i="2" s="1"/>
  <c r="I422" i="2" s="1" a="1"/>
  <c r="I422" i="2" s="1"/>
  <c r="E67" i="2"/>
  <c r="F67" i="2" s="1"/>
  <c r="G437" i="2"/>
  <c r="L439" i="2" s="1"/>
  <c r="I439" i="2"/>
  <c r="G444" i="2"/>
  <c r="H444" i="2" s="1"/>
  <c r="G237" i="2"/>
  <c r="H237" i="2" s="1"/>
  <c r="I240" i="2"/>
  <c r="I55" i="2"/>
  <c r="H56" i="2" s="1"/>
  <c r="I74" i="2"/>
  <c r="H75" i="2" s="1"/>
  <c r="E162" i="2"/>
  <c r="I313" i="2"/>
  <c r="E139" i="2" s="1"/>
  <c r="I311" i="2"/>
  <c r="I459" i="2"/>
  <c r="E186" i="2" s="1"/>
  <c r="E192" i="2" s="1"/>
  <c r="F192" i="2" s="1"/>
  <c r="I461" i="2"/>
  <c r="E187" i="2" s="1"/>
  <c r="E193" i="2" s="1"/>
  <c r="F193" i="2" s="1"/>
  <c r="E68" i="2"/>
  <c r="F68" i="2" s="1"/>
  <c r="I288" i="2" l="1"/>
  <c r="E175" i="2"/>
  <c r="J418" i="2"/>
  <c r="I380" i="2" a="1"/>
  <c r="I380" i="2" s="1"/>
  <c r="J380" i="2" s="1"/>
  <c r="I398" i="2"/>
  <c r="K397" i="2"/>
  <c r="I397" i="2"/>
  <c r="I399" i="2" a="1"/>
  <c r="I399" i="2" s="1"/>
  <c r="I381" i="2"/>
  <c r="I379" i="2" a="1"/>
  <c r="I379" i="2" s="1"/>
  <c r="J381" i="2"/>
  <c r="K379" i="2" a="1"/>
  <c r="K379" i="2" s="1"/>
  <c r="I359" i="2" a="1"/>
  <c r="I359" i="2" s="1"/>
  <c r="L359" i="2" a="1"/>
  <c r="L359" i="2" s="1"/>
  <c r="L343" i="2" a="1"/>
  <c r="L343" i="2" s="1"/>
  <c r="I343" i="2" a="1"/>
  <c r="I343" i="2" s="1"/>
  <c r="I285" i="2"/>
  <c r="I337" i="2" s="1" a="1"/>
  <c r="I337" i="2" s="1"/>
  <c r="E181" i="2"/>
  <c r="F181" i="2" s="1"/>
  <c r="I181" i="2" s="1"/>
  <c r="I317" i="2" a="1"/>
  <c r="I317" i="2" s="1"/>
  <c r="K373" i="2" s="1"/>
  <c r="K355" i="2" a="1"/>
  <c r="K355" i="2" s="1"/>
  <c r="I316" i="2" a="1"/>
  <c r="I316" i="2" s="1"/>
  <c r="F372" i="2" a="1"/>
  <c r="F372" i="2" s="1"/>
  <c r="L316" i="2" s="1"/>
  <c r="F371" i="2" a="1"/>
  <c r="F371" i="2" s="1"/>
  <c r="I423" i="2" a="1"/>
  <c r="I423" i="2" s="1"/>
  <c r="I440" i="2" s="1"/>
  <c r="I353" i="2" a="1"/>
  <c r="I353" i="2" s="1"/>
  <c r="F140" i="2"/>
  <c r="F351" i="2" a="1"/>
  <c r="F351" i="2" s="1"/>
  <c r="L353" i="2" a="1"/>
  <c r="L353" i="2" s="1"/>
  <c r="B341" i="2"/>
  <c r="I68" i="2"/>
  <c r="H68" i="2"/>
  <c r="E136" i="2"/>
  <c r="F445" i="2"/>
  <c r="I449" i="2"/>
  <c r="I455" i="2" s="1"/>
  <c r="I463" i="2" s="1"/>
  <c r="E188" i="2" s="1"/>
  <c r="J448" i="2"/>
  <c r="I448" i="2"/>
  <c r="I67" i="2"/>
  <c r="H67" i="2"/>
  <c r="E158" i="2"/>
  <c r="F158" i="2" s="1"/>
  <c r="F143" i="2"/>
  <c r="H193" i="2"/>
  <c r="I193" i="2"/>
  <c r="E154" i="2"/>
  <c r="F154" i="2" s="1"/>
  <c r="F139" i="2"/>
  <c r="H60" i="2"/>
  <c r="H192" i="2"/>
  <c r="I192" i="2"/>
  <c r="H155" i="2"/>
  <c r="E167" i="2"/>
  <c r="F167" i="2" s="1"/>
  <c r="F162" i="2"/>
  <c r="H61" i="2"/>
  <c r="J344" i="2"/>
  <c r="E135" i="2"/>
  <c r="I246" i="2"/>
  <c r="F238" i="2"/>
  <c r="I242" i="2"/>
  <c r="I248" i="2"/>
  <c r="J241" i="2"/>
  <c r="J245" i="2" s="1"/>
  <c r="J247" i="2" s="1"/>
  <c r="I241" i="2"/>
  <c r="D187" i="2"/>
  <c r="F187" i="2" s="1"/>
  <c r="D186" i="2"/>
  <c r="F186" i="2" s="1"/>
  <c r="E174" i="2"/>
  <c r="F175" i="2" l="1"/>
  <c r="H175" i="2" s="1"/>
  <c r="I484" i="2"/>
  <c r="G487" i="2" s="1"/>
  <c r="H487" i="2" s="1"/>
  <c r="F488" i="2" s="1"/>
  <c r="D489" i="2" s="1"/>
  <c r="I382" i="2"/>
  <c r="E142" i="2" s="1"/>
  <c r="J398" i="2"/>
  <c r="I400" i="2" a="1"/>
  <c r="I400" i="2" s="1"/>
  <c r="F329" i="2" a="1"/>
  <c r="F329" i="2" s="1"/>
  <c r="F336" i="2" a="1"/>
  <c r="F336" i="2" s="1"/>
  <c r="L330" i="2" a="1"/>
  <c r="L330" i="2" s="1"/>
  <c r="I330" i="2" a="1"/>
  <c r="I330" i="2" s="1"/>
  <c r="F328" i="2" a="1"/>
  <c r="F328" i="2" s="1"/>
  <c r="I332" i="2" a="1"/>
  <c r="I332" i="2" s="1"/>
  <c r="L337" i="2" a="1"/>
  <c r="L337" i="2" s="1"/>
  <c r="H140" i="2"/>
  <c r="J338" i="2"/>
  <c r="F335" i="2" a="1"/>
  <c r="F335" i="2" s="1"/>
  <c r="I373" i="2"/>
  <c r="H181" i="2"/>
  <c r="J354" i="2"/>
  <c r="B346" i="2"/>
  <c r="E180" i="2"/>
  <c r="F180" i="2" s="1"/>
  <c r="F174" i="2"/>
  <c r="H186" i="2"/>
  <c r="I186" i="2"/>
  <c r="E150" i="2"/>
  <c r="F150" i="2" s="1"/>
  <c r="F135" i="2"/>
  <c r="J355" i="2"/>
  <c r="E137" i="2"/>
  <c r="H143" i="2"/>
  <c r="F188" i="2"/>
  <c r="E194" i="2"/>
  <c r="F194" i="2" s="1"/>
  <c r="I187" i="2"/>
  <c r="H187" i="2"/>
  <c r="I162" i="2"/>
  <c r="H162" i="2"/>
  <c r="H158" i="2"/>
  <c r="I247" i="2"/>
  <c r="I245" i="2"/>
  <c r="I167" i="2"/>
  <c r="H167" i="2"/>
  <c r="E138" i="2"/>
  <c r="J360" i="2"/>
  <c r="I265" i="2"/>
  <c r="E96" i="2" s="1"/>
  <c r="F96" i="2" s="1"/>
  <c r="F136" i="2"/>
  <c r="E151" i="2"/>
  <c r="F151" i="2" s="1"/>
  <c r="I249" i="2"/>
  <c r="H249" i="2" s="1"/>
  <c r="H139" i="2"/>
  <c r="I263" i="2"/>
  <c r="E95" i="2" s="1"/>
  <c r="F95" i="2" s="1"/>
  <c r="H154" i="2"/>
  <c r="I175" i="2" l="1"/>
  <c r="G489" i="2"/>
  <c r="L489" i="2"/>
  <c r="D490" i="2"/>
  <c r="C204" i="2" s="1"/>
  <c r="I375" i="2"/>
  <c r="E141" i="2" s="1"/>
  <c r="F141" i="2" s="1"/>
  <c r="J382" i="2"/>
  <c r="J400" i="2"/>
  <c r="E163" i="2"/>
  <c r="E157" i="2"/>
  <c r="F157" i="2" s="1"/>
  <c r="F142" i="2"/>
  <c r="K339" i="2" a="1"/>
  <c r="K339" i="2" s="1"/>
  <c r="K332" i="2" a="1"/>
  <c r="K332" i="2" s="1"/>
  <c r="J339" i="2"/>
  <c r="J331" i="2"/>
  <c r="B350" i="2"/>
  <c r="E103" i="2"/>
  <c r="F103" i="2" s="1"/>
  <c r="I103" i="2" s="1"/>
  <c r="L251" i="2"/>
  <c r="I251" i="2"/>
  <c r="F250" i="2"/>
  <c r="I252" i="2"/>
  <c r="I259" i="2" s="1"/>
  <c r="I188" i="2"/>
  <c r="H188" i="2"/>
  <c r="E152" i="2"/>
  <c r="F152" i="2" s="1"/>
  <c r="F137" i="2"/>
  <c r="H135" i="2"/>
  <c r="H151" i="2"/>
  <c r="H136" i="2"/>
  <c r="H150" i="2"/>
  <c r="E104" i="2"/>
  <c r="F104" i="2" s="1"/>
  <c r="I174" i="2"/>
  <c r="H174" i="2"/>
  <c r="F138" i="2"/>
  <c r="E153" i="2"/>
  <c r="F153" i="2" s="1"/>
  <c r="J332" i="2"/>
  <c r="E133" i="2"/>
  <c r="I194" i="2"/>
  <c r="H194" i="2"/>
  <c r="I180" i="2"/>
  <c r="H180" i="2"/>
  <c r="I271" i="2" l="1"/>
  <c r="E98" i="2" s="1"/>
  <c r="F98" i="2" s="1"/>
  <c r="I269" i="2"/>
  <c r="E97" i="2" s="1"/>
  <c r="F97" i="2" s="1"/>
  <c r="I273" i="2"/>
  <c r="E99" i="2" s="1"/>
  <c r="F99" i="2" s="1"/>
  <c r="J375" i="2"/>
  <c r="H142" i="2"/>
  <c r="H157" i="2"/>
  <c r="E168" i="2"/>
  <c r="F168" i="2" s="1"/>
  <c r="F163" i="2"/>
  <c r="E134" i="2"/>
  <c r="E149" i="2" s="1"/>
  <c r="F149" i="2" s="1"/>
  <c r="E156" i="2"/>
  <c r="B357" i="2"/>
  <c r="H137" i="2"/>
  <c r="H95" i="2"/>
  <c r="I95" i="2"/>
  <c r="H103" i="2"/>
  <c r="F133" i="2"/>
  <c r="E148" i="2"/>
  <c r="F148" i="2" s="1"/>
  <c r="I96" i="2"/>
  <c r="H96" i="2"/>
  <c r="I104" i="2"/>
  <c r="H104" i="2"/>
  <c r="H153" i="2"/>
  <c r="H138" i="2"/>
  <c r="H141" i="2"/>
  <c r="H152" i="2"/>
  <c r="F156" i="2" l="1"/>
  <c r="H156" i="2" s="1"/>
  <c r="F134" i="2"/>
  <c r="H134" i="2" s="1"/>
  <c r="I163" i="2"/>
  <c r="H163" i="2"/>
  <c r="I472" i="2" s="1"/>
  <c r="I486" i="2" s="1"/>
  <c r="I168" i="2"/>
  <c r="H168" i="2"/>
  <c r="B362" i="2"/>
  <c r="B366" i="2" s="1"/>
  <c r="B370" i="2" s="1"/>
  <c r="B377" i="2" s="1"/>
  <c r="B384" i="2" s="1"/>
  <c r="H149" i="2"/>
  <c r="H148" i="2"/>
  <c r="I148" i="2"/>
  <c r="H133" i="2"/>
  <c r="E105" i="2"/>
  <c r="F105" i="2" s="1"/>
  <c r="E107" i="2"/>
  <c r="F107" i="2" s="1"/>
  <c r="E106" i="2"/>
  <c r="F106" i="2" s="1"/>
  <c r="I471" i="2" l="1"/>
  <c r="I485" i="2" s="1"/>
  <c r="G490" i="2" s="1"/>
  <c r="F204" i="2" s="1"/>
  <c r="C205" i="2" s="1"/>
  <c r="I205" i="2" s="1"/>
  <c r="I204" i="2" s="1"/>
  <c r="I98" i="2"/>
  <c r="H98" i="2"/>
  <c r="I99" i="2"/>
  <c r="H99" i="2"/>
  <c r="H107" i="2"/>
  <c r="I107" i="2"/>
  <c r="H106" i="2"/>
  <c r="I106" i="2"/>
  <c r="I97" i="2"/>
  <c r="H97" i="2"/>
  <c r="I105" i="2"/>
  <c r="H105" i="2"/>
  <c r="I470" i="2" l="1"/>
  <c r="G473" i="2" s="1"/>
  <c r="H473" i="2" s="1"/>
  <c r="F474" i="2" s="1"/>
  <c r="G476" i="2" s="1"/>
  <c r="F199" i="2" s="1"/>
  <c r="K205" i="2"/>
  <c r="D491" i="2"/>
  <c r="J491" i="2" s="1"/>
  <c r="D492" i="2" s="1"/>
  <c r="D475" i="2" l="1"/>
  <c r="G475" i="2"/>
  <c r="L475" i="2"/>
  <c r="D476" i="2"/>
  <c r="C199" i="2" s="1"/>
  <c r="C200" i="2" s="1"/>
  <c r="I200" i="2" s="1"/>
  <c r="J490" i="2"/>
  <c r="D477" i="2" l="1"/>
  <c r="J477" i="2" s="1"/>
  <c r="J476" i="2" s="1"/>
  <c r="I199" i="2"/>
  <c r="K200" i="2"/>
  <c r="D47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<sst xmlns="http://schemas.openxmlformats.org/spreadsheetml/2006/main" count="1225" uniqueCount="501">
  <si>
    <t>Profile</t>
  </si>
  <si>
    <t>Dimention</t>
  </si>
  <si>
    <t>(mm)</t>
  </si>
  <si>
    <t>mm</t>
  </si>
  <si>
    <t>ht</t>
  </si>
  <si>
    <t>bf</t>
  </si>
  <si>
    <t>tw</t>
  </si>
  <si>
    <t>tf</t>
  </si>
  <si>
    <t>r</t>
  </si>
  <si>
    <t>WF 100 x 50</t>
  </si>
  <si>
    <t>WF 100 x 100</t>
  </si>
  <si>
    <t>WF 125 x 60</t>
  </si>
  <si>
    <t>WF 125 x 125</t>
  </si>
  <si>
    <t>WF 150 x 75</t>
  </si>
  <si>
    <t>WF 150 x 100</t>
  </si>
  <si>
    <t>WF 150 x 150</t>
  </si>
  <si>
    <t>WF 175 x 90</t>
  </si>
  <si>
    <t>WF 175 x 125</t>
  </si>
  <si>
    <t>WF 175 x 175</t>
  </si>
  <si>
    <t>WF 200 x 100</t>
  </si>
  <si>
    <t>WF 200 x 150</t>
  </si>
  <si>
    <t>WF 200 x 200</t>
  </si>
  <si>
    <t>WF 250 x 125</t>
  </si>
  <si>
    <t>WF 250 x 175</t>
  </si>
  <si>
    <t>WF 250 x 250</t>
  </si>
  <si>
    <t>WF 300 x 150</t>
  </si>
  <si>
    <t>WF 300 x 200</t>
  </si>
  <si>
    <t>WF 300 x 300</t>
  </si>
  <si>
    <t>WF 350 x 175</t>
  </si>
  <si>
    <t>WF 350 x 250</t>
  </si>
  <si>
    <t>WF 350 x 350</t>
  </si>
  <si>
    <t>WF 400 x 200</t>
  </si>
  <si>
    <t>WF 400 x 300</t>
  </si>
  <si>
    <t>WF 400 x 400</t>
  </si>
  <si>
    <t>WF 450 x 200</t>
  </si>
  <si>
    <t>WF 450 x 300</t>
  </si>
  <si>
    <t>WF 500 x 200</t>
  </si>
  <si>
    <t>WF 500 x 300</t>
  </si>
  <si>
    <t>WF 600 x 200</t>
  </si>
  <si>
    <t>WF 600 x 300</t>
  </si>
  <si>
    <t>WF 700 x 300</t>
  </si>
  <si>
    <t>WF 800 x 300</t>
  </si>
  <si>
    <t>WF 900 x 300</t>
  </si>
  <si>
    <t>KONTROL PERHITUNGAN BAJA PROFIL</t>
  </si>
  <si>
    <t>DATA PERENCANAAN</t>
  </si>
  <si>
    <t>SUBBAB</t>
  </si>
  <si>
    <t>DATA MATERIAL</t>
  </si>
  <si>
    <t>ANAK</t>
  </si>
  <si>
    <t>Panjang baja</t>
  </si>
  <si>
    <t>Lx</t>
  </si>
  <si>
    <t>=</t>
  </si>
  <si>
    <t>m</t>
  </si>
  <si>
    <t>Jarak perkuatan/pembagi</t>
  </si>
  <si>
    <t>Lc</t>
  </si>
  <si>
    <t>Gaya tarik</t>
  </si>
  <si>
    <t>Pu</t>
  </si>
  <si>
    <t>kN</t>
  </si>
  <si>
    <t>Kg</t>
  </si>
  <si>
    <t>Gaya tekan</t>
  </si>
  <si>
    <t>Momen sumbu mayor</t>
  </si>
  <si>
    <t>Mux</t>
  </si>
  <si>
    <t>kNm</t>
  </si>
  <si>
    <t>Kgm</t>
  </si>
  <si>
    <t>Momen sumbu minor</t>
  </si>
  <si>
    <t>Muy</t>
  </si>
  <si>
    <t>Gaya geser</t>
  </si>
  <si>
    <t>Vu</t>
  </si>
  <si>
    <t>Gaya torsi</t>
  </si>
  <si>
    <t>Tu</t>
  </si>
  <si>
    <t>Defleksi</t>
  </si>
  <si>
    <t>d</t>
  </si>
  <si>
    <t>Poisson ratio</t>
  </si>
  <si>
    <t>υ</t>
  </si>
  <si>
    <t>Modulus elastisitas</t>
  </si>
  <si>
    <t>E</t>
  </si>
  <si>
    <t>MPa</t>
  </si>
  <si>
    <t>Tegangan leleh</t>
  </si>
  <si>
    <t>Fy</t>
  </si>
  <si>
    <t>Tegangan tarik</t>
  </si>
  <si>
    <t>Fu</t>
  </si>
  <si>
    <t>Profil terhubung sendi</t>
  </si>
  <si>
    <t>SECTION PROPERTIES PROFIL</t>
  </si>
  <si>
    <t>Profil yang digunakan</t>
  </si>
  <si>
    <t>Tinggi badan</t>
  </si>
  <si>
    <t>Lebar sayap</t>
  </si>
  <si>
    <t>Tebal badan</t>
  </si>
  <si>
    <t>Radius siku</t>
  </si>
  <si>
    <t>Luas penampang</t>
  </si>
  <si>
    <t>Ag</t>
  </si>
  <si>
    <r>
      <t>mm</t>
    </r>
    <r>
      <rPr>
        <vertAlign val="superscript"/>
        <sz val="11"/>
        <rFont val="Aptos Narrow"/>
        <family val="2"/>
        <scheme val="minor"/>
      </rPr>
      <t>2</t>
    </r>
  </si>
  <si>
    <t>Berat</t>
  </si>
  <si>
    <t>W</t>
  </si>
  <si>
    <t>Kg/m</t>
  </si>
  <si>
    <t>Ix</t>
  </si>
  <si>
    <r>
      <t>mm</t>
    </r>
    <r>
      <rPr>
        <vertAlign val="superscript"/>
        <sz val="11"/>
        <rFont val="Aptos Narrow"/>
        <family val="2"/>
        <scheme val="minor"/>
      </rPr>
      <t>4</t>
    </r>
  </si>
  <si>
    <t>Iy</t>
  </si>
  <si>
    <t>rx</t>
  </si>
  <si>
    <t>ry</t>
  </si>
  <si>
    <t>Sx</t>
  </si>
  <si>
    <r>
      <t>mm</t>
    </r>
    <r>
      <rPr>
        <vertAlign val="superscript"/>
        <sz val="11"/>
        <rFont val="Aptos Narrow"/>
        <family val="2"/>
        <scheme val="minor"/>
      </rPr>
      <t>3</t>
    </r>
  </si>
  <si>
    <t>Sy</t>
  </si>
  <si>
    <t>Zx</t>
  </si>
  <si>
    <t>Zy</t>
  </si>
  <si>
    <t>Tinggi bersih badan</t>
  </si>
  <si>
    <t>hc</t>
  </si>
  <si>
    <t>Modulus geser</t>
  </si>
  <si>
    <t>G</t>
  </si>
  <si>
    <t>Modulus torsi</t>
  </si>
  <si>
    <t>J</t>
  </si>
  <si>
    <t>Konstanta torsi</t>
  </si>
  <si>
    <t>C</t>
  </si>
  <si>
    <t>Konstanta Pilin</t>
  </si>
  <si>
    <t>Cw</t>
  </si>
  <si>
    <r>
      <t>mm</t>
    </r>
    <r>
      <rPr>
        <vertAlign val="superscript"/>
        <sz val="11"/>
        <rFont val="Aptos Narrow"/>
        <family val="2"/>
        <scheme val="minor"/>
      </rPr>
      <t>6</t>
    </r>
  </si>
  <si>
    <t>REKAPITULASI KONTROL STRUKTUR</t>
  </si>
  <si>
    <t>KONTROL DEFLEKSI STRUKTUR</t>
  </si>
  <si>
    <t>(Bab L SNI 1729:2020)</t>
  </si>
  <si>
    <t>Defleksi yang terjadi</t>
  </si>
  <si>
    <t>Defleksi izin maksimum</t>
  </si>
  <si>
    <r>
      <t>d</t>
    </r>
    <r>
      <rPr>
        <sz val="11"/>
        <rFont val="Aptos Narrow"/>
        <family val="2"/>
        <scheme val="minor"/>
      </rPr>
      <t>max</t>
    </r>
  </si>
  <si>
    <t>Lx/360</t>
  </si>
  <si>
    <t>Syarat yang harus dipenuhi</t>
  </si>
  <si>
    <t>£</t>
  </si>
  <si>
    <t>KONTROL STRUKTUR TERHADAP AKSIAL TARIK</t>
  </si>
  <si>
    <t>(Bab D SNI 1729:2020)</t>
  </si>
  <si>
    <t>Analisis Kondisi Profil</t>
  </si>
  <si>
    <t>(Pasal D1 SNI 1729:2020)</t>
  </si>
  <si>
    <t>Batas kelangsingan penampang tarik</t>
  </si>
  <si>
    <r>
      <t xml:space="preserve">L/r </t>
    </r>
    <r>
      <rPr>
        <sz val="11"/>
        <rFont val="Symbol"/>
        <family val="1"/>
        <charset val="2"/>
      </rPr>
      <t>£</t>
    </r>
    <r>
      <rPr>
        <sz val="11"/>
        <rFont val="Aptos Narrow"/>
        <family val="2"/>
        <scheme val="minor"/>
      </rPr>
      <t xml:space="preserve"> 300</t>
    </r>
  </si>
  <si>
    <t>Kontrol Aksial Terhadap Kekuatan Desain (DFBT)</t>
  </si>
  <si>
    <t>Kondisi</t>
  </si>
  <si>
    <t>Pn</t>
  </si>
  <si>
    <t>Keterangan</t>
  </si>
  <si>
    <t>Leleh pada Luas Bruto</t>
  </si>
  <si>
    <t>Runtuh Tarik pada Luas Netto</t>
  </si>
  <si>
    <t>Runtuh Tarik pada Luas Efektif</t>
  </si>
  <si>
    <t>Runtuh Geser pada Luas Efektif</t>
  </si>
  <si>
    <t>Kontrol Aksial Terhadap Kekuatan Izin (DKI)</t>
  </si>
  <si>
    <t>KONTROL STRUKTUR TERHADAP AKSIAL TEKAN</t>
  </si>
  <si>
    <t>(Bab E SNI 1729:2020)</t>
  </si>
  <si>
    <t>(Pasal E2 SNI 1729:2020)</t>
  </si>
  <si>
    <t>Batas kelangsingan penampang tekan</t>
  </si>
  <si>
    <r>
      <t xml:space="preserve">L/r </t>
    </r>
    <r>
      <rPr>
        <sz val="11"/>
        <rFont val="Symbol"/>
        <family val="1"/>
        <charset val="2"/>
      </rPr>
      <t>£</t>
    </r>
    <r>
      <rPr>
        <sz val="11"/>
        <rFont val="Aptos Narrow"/>
        <family val="2"/>
        <scheme val="minor"/>
      </rPr>
      <t xml:space="preserve"> 200</t>
    </r>
  </si>
  <si>
    <t>Analisis Penampang Sayap</t>
  </si>
  <si>
    <t>(Tabel B4.1a SNI 1729:2020)</t>
  </si>
  <si>
    <t>Kelangsingan penampang</t>
  </si>
  <si>
    <t>λf</t>
  </si>
  <si>
    <t>0,50.bf/tf</t>
  </si>
  <si>
    <t>Batas kelangsingan penampang tak langsing</t>
  </si>
  <si>
    <t>λr</t>
  </si>
  <si>
    <r>
      <t>0,56.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</si>
  <si>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Analisis Penampang Badan</t>
  </si>
  <si>
    <t>λb</t>
  </si>
  <si>
    <t>ht/tw</t>
  </si>
  <si>
    <r>
      <t>1,49.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</si>
  <si>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Tekuk Lentur (FB)</t>
  </si>
  <si>
    <t>Tekuk Torsi (TB)</t>
  </si>
  <si>
    <t>Tekuk Lokal (LB)</t>
  </si>
  <si>
    <t>KONTROL STRUKTUR TERHADAP MOMEN</t>
  </si>
  <si>
    <t>(Bab F SNI 1729:2020)</t>
  </si>
  <si>
    <t>(Tabel B4.1b SNI 1729:2020)</t>
  </si>
  <si>
    <t>Batas kelangsingan penampang kompak</t>
  </si>
  <si>
    <t>λp</t>
  </si>
  <si>
    <r>
      <t>0,38.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</si>
  <si>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Batas kelangsingan penampang tak kompak</t>
  </si>
  <si>
    <r>
      <t>1,00.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</si>
  <si>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r>
      <t>3,76.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</si>
  <si>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r>
      <t>5,70.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</si>
  <si>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Kontrol Momen Sumbu Mayor Terhadap Kekuatan Desain (DFBT)</t>
  </si>
  <si>
    <t>Mn</t>
  </si>
  <si>
    <t>Leleh (Y)</t>
  </si>
  <si>
    <t>Tekuk Torsi Lateral (LTB)</t>
  </si>
  <si>
    <t>Tekuk Lokal Sayap Tekan (FLB)</t>
  </si>
  <si>
    <t>Leleh Sayap Tekan (CFY)</t>
  </si>
  <si>
    <t>Leleh Sayap Tarik (TFY)</t>
  </si>
  <si>
    <t>Kontrol Momen Sumbu Mayor Terhadap Kekuatan Izin (DKI)</t>
  </si>
  <si>
    <t>Kontrol Momen Sumbu Minor Terhadap Kekuatan Desain (DFBT)</t>
  </si>
  <si>
    <t>Kontrol Momen Sumbu Minor Terhadap Kekuatan Izin (DKI)</t>
  </si>
  <si>
    <t>KONTROL STRUKTUR TERHADAP GESER</t>
  </si>
  <si>
    <t>(Bab G SNI 1729:2020)</t>
  </si>
  <si>
    <t>Kontrol Geser Terhadap Kekuatan Desain (DFBT)</t>
  </si>
  <si>
    <t>Vn</t>
  </si>
  <si>
    <t>Tanpa Medan Tarik</t>
  </si>
  <si>
    <t>Dengan Medan Tarik</t>
  </si>
  <si>
    <t>Kontrol Geser Terhadap Kekuatan Izin (DKI)</t>
  </si>
  <si>
    <t>KONTROL STRUKTUR TERHADAP TORSI</t>
  </si>
  <si>
    <t>(Bab H SNI 1729:2020)</t>
  </si>
  <si>
    <t>Kontrol Torsi Terhadap Kekuatan Desain (DFBT)</t>
  </si>
  <si>
    <t>Tn</t>
  </si>
  <si>
    <t>Tegangan Normal</t>
  </si>
  <si>
    <t>Tegangan Geser</t>
  </si>
  <si>
    <t>Batas Tekuk</t>
  </si>
  <si>
    <t>Kontrol Torsi Terhadap Kekuatan Izin (DKI)</t>
  </si>
  <si>
    <t>KONTROL INTERAKSI GAYA MOMEN DAN AKSIAL</t>
  </si>
  <si>
    <t>Kontrol Interaksi Momen dan Aksial Tekan</t>
  </si>
  <si>
    <t>+</t>
  </si>
  <si>
    <t>Kontrol Interaksi Momen dan Aksial Tarik</t>
  </si>
  <si>
    <t>PROPERTIES AKSIAL TARIK</t>
  </si>
  <si>
    <t>Faktor lag geser</t>
  </si>
  <si>
    <t>U</t>
  </si>
  <si>
    <t>(D5.1)</t>
  </si>
  <si>
    <t>Luas lubang pada penampang profil</t>
  </si>
  <si>
    <r>
      <t>A</t>
    </r>
    <r>
      <rPr>
        <vertAlign val="subscript"/>
        <sz val="11"/>
        <rFont val="Aptos Narrow"/>
        <family val="2"/>
        <scheme val="minor"/>
      </rPr>
      <t>1</t>
    </r>
  </si>
  <si>
    <t>Luas penampang netto</t>
  </si>
  <si>
    <t>An</t>
  </si>
  <si>
    <r>
      <t>Ag - A</t>
    </r>
    <r>
      <rPr>
        <vertAlign val="subscript"/>
        <sz val="11"/>
        <rFont val="Aptos Narrow"/>
        <family val="2"/>
        <scheme val="minor"/>
      </rPr>
      <t>1</t>
    </r>
  </si>
  <si>
    <t>(B4.3b)</t>
  </si>
  <si>
    <t>Luas penampang netto efektif</t>
  </si>
  <si>
    <t>Ae</t>
  </si>
  <si>
    <t>An.U</t>
  </si>
  <si>
    <t>(D3-1)</t>
  </si>
  <si>
    <t>a</t>
  </si>
  <si>
    <t>Diameter sendi</t>
  </si>
  <si>
    <t>Ketebalan pelat</t>
  </si>
  <si>
    <t>t</t>
  </si>
  <si>
    <t>be</t>
  </si>
  <si>
    <t>2t + 0,63</t>
  </si>
  <si>
    <t>Luas pada alur kegagalan geser</t>
  </si>
  <si>
    <t>Asf</t>
  </si>
  <si>
    <t>2t (a + d/2)</t>
  </si>
  <si>
    <t>TAHANAN TARIK TANPA TERHUBUNG SENDI</t>
  </si>
  <si>
    <t>Tahanan leleh penampang bruto</t>
  </si>
  <si>
    <t>Fy.Ag</t>
  </si>
  <si>
    <t>(D2-1)</t>
  </si>
  <si>
    <t>Tahanan tarik putus penampang netto</t>
  </si>
  <si>
    <t>Fu.Ae</t>
  </si>
  <si>
    <t>(D2-2)</t>
  </si>
  <si>
    <t>TAHANAN TARIK DENGAN TERHUBUNG SENDI</t>
  </si>
  <si>
    <t>Tahanan runtuh tarik penampang netto efektif</t>
  </si>
  <si>
    <t>Fu(2.t.be)</t>
  </si>
  <si>
    <t>(D5-1)</t>
  </si>
  <si>
    <t>Tahanan runtuh geser penampang netto efektif</t>
  </si>
  <si>
    <t>0,6.Fu.Asf</t>
  </si>
  <si>
    <t>(D5-2)</t>
  </si>
  <si>
    <t>PROPERTIES AKSIAL TEKAN</t>
  </si>
  <si>
    <t>Kondisi tegangan tekuk lentur</t>
  </si>
  <si>
    <t>L/r</t>
  </si>
  <si>
    <r>
      <t>4,71.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</si>
  <si>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Tegangan tekuk elastis tekuk lentur</t>
  </si>
  <si>
    <t>Fe</t>
  </si>
  <si>
    <r>
      <rPr>
        <sz val="11"/>
        <rFont val="Symbol"/>
        <family val="1"/>
        <charset val="2"/>
      </rPr>
      <t>p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.E/(L/rx)</t>
    </r>
    <r>
      <rPr>
        <vertAlign val="superscript"/>
        <sz val="11"/>
        <rFont val="Aptos Narrow"/>
        <family val="2"/>
        <scheme val="minor"/>
      </rPr>
      <t>2</t>
    </r>
  </si>
  <si>
    <t>(E3-4)</t>
  </si>
  <si>
    <t>Tegangan kritis tekuk lentur</t>
  </si>
  <si>
    <t>Fcr</t>
  </si>
  <si>
    <t>Tegangan tekuk elastis tekuk torsi</t>
  </si>
  <si>
    <r>
      <rPr>
        <sz val="11"/>
        <rFont val="Aptos Narrow"/>
        <family val="2"/>
        <scheme val="minor"/>
      </rPr>
      <t>(</t>
    </r>
    <r>
      <rPr>
        <sz val="11"/>
        <rFont val="Symbol"/>
        <family val="1"/>
        <charset val="2"/>
      </rPr>
      <t>p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.E.Cw/L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+GJ).(1/(Ix+Iy))</t>
    </r>
  </si>
  <si>
    <t>(E4-2)</t>
  </si>
  <si>
    <t>Tegangan kritis tekuk torsi</t>
  </si>
  <si>
    <t>Tegangan kritis tekuk lokal</t>
  </si>
  <si>
    <t>Kelangsingan struktur</t>
  </si>
  <si>
    <r>
      <t>λr.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(fy/fcr)</t>
    </r>
  </si>
  <si>
    <t>(E7-1)</t>
  </si>
  <si>
    <t>Lebar efektif</t>
  </si>
  <si>
    <t>Koefisien penyesuaian</t>
  </si>
  <si>
    <t>c1</t>
  </si>
  <si>
    <t>(E7.1)</t>
  </si>
  <si>
    <t>c2</t>
  </si>
  <si>
    <r>
      <t>1-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(1-4.c1)/(2.c1)</t>
    </r>
  </si>
  <si>
    <t>(E7-4)</t>
  </si>
  <si>
    <t>Tegangan tekuk lokal elastis</t>
  </si>
  <si>
    <t>Fel</t>
  </si>
  <si>
    <r>
      <t>(c2.</t>
    </r>
    <r>
      <rPr>
        <sz val="11"/>
        <rFont val="Symbol"/>
        <family val="1"/>
        <charset val="2"/>
      </rPr>
      <t>l</t>
    </r>
    <r>
      <rPr>
        <sz val="11"/>
        <rFont val="Aptos Narrow"/>
        <family val="2"/>
        <scheme val="minor"/>
      </rPr>
      <t>r/</t>
    </r>
    <r>
      <rPr>
        <sz val="11"/>
        <rFont val="Symbol"/>
        <family val="1"/>
        <charset val="2"/>
      </rPr>
      <t>l</t>
    </r>
    <r>
      <rPr>
        <sz val="11"/>
        <rFont val="Aptos Narrow"/>
        <family val="2"/>
        <scheme val="minor"/>
      </rPr>
      <t>b)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.Fy</t>
    </r>
  </si>
  <si>
    <t>(E7-5)</t>
  </si>
  <si>
    <t>Luas efektif</t>
  </si>
  <si>
    <t>Ag-((b-be).t)</t>
  </si>
  <si>
    <t>TAHANAN TEKAN TANPA ELEMEN LANGSING</t>
  </si>
  <si>
    <t>(Pasal E3 &amp; E4 SNI 1729:2020)</t>
  </si>
  <si>
    <t>Tekan nominal batas tekuk lentur</t>
  </si>
  <si>
    <t>Fcr.Ag</t>
  </si>
  <si>
    <t>(E3-1)</t>
  </si>
  <si>
    <t>Tekan nominal batas tekuk torsi</t>
  </si>
  <si>
    <t>(E4-1)</t>
  </si>
  <si>
    <t>TAHANAN TEKAN DENGAN ELEMEN LANGSING</t>
  </si>
  <si>
    <t>Fcr.Ae</t>
  </si>
  <si>
    <t>Tekan nominal batas tekuk lokal</t>
  </si>
  <si>
    <t>KONTROL STRUKTUR TERHADAP MOMEN MAYOR</t>
  </si>
  <si>
    <t>PROPERTIES MOMEN</t>
  </si>
  <si>
    <t>Radius girasi efektif kondisi badan kompak</t>
  </si>
  <si>
    <t>rts</t>
  </si>
  <si>
    <r>
      <rPr>
        <sz val="11"/>
        <rFont val="Symbol"/>
        <family val="1"/>
        <charset val="2"/>
      </rPr>
      <t>Ö(Ö</t>
    </r>
    <r>
      <rPr>
        <sz val="11"/>
        <rFont val="Aptos Narrow"/>
        <family val="2"/>
        <scheme val="minor"/>
      </rPr>
      <t>(Iy.Cw)/Sx)</t>
    </r>
  </si>
  <si>
    <t>(F2-7)</t>
  </si>
  <si>
    <t>Koefisien penyesuaian kondisi tekuk torsi lateral</t>
  </si>
  <si>
    <t>c</t>
  </si>
  <si>
    <t>(F2-8a)</t>
  </si>
  <si>
    <t>Panjang bentang yang terkena momen</t>
  </si>
  <si>
    <t>Lb</t>
  </si>
  <si>
    <t>Panjang max yang menahan momen plastis</t>
  </si>
  <si>
    <t>Lp</t>
  </si>
  <si>
    <r>
      <t>1,76.ry.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</si>
  <si>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(F2-5)</t>
  </si>
  <si>
    <t>kondisi badan kompak</t>
  </si>
  <si>
    <t>Panjang max yang menahan momen kritis</t>
  </si>
  <si>
    <t>Lr</t>
  </si>
  <si>
    <t>(1,95.rts.E)/(0,7.Fy).</t>
  </si>
  <si>
    <t>(F2-6)</t>
  </si>
  <si>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((Jc/Sx.hc)+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((Jc/Sx.hc)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+6,76.(0,7.Fy/E)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))</t>
    </r>
  </si>
  <si>
    <t>Tegangan kritis kondisi badan kompak</t>
  </si>
  <si>
    <r>
      <t>(Cb.</t>
    </r>
    <r>
      <rPr>
        <sz val="11"/>
        <rFont val="Symbol"/>
        <family val="1"/>
        <charset val="2"/>
      </rPr>
      <t>p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.E)/(Lb/rts)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.</t>
    </r>
  </si>
  <si>
    <t>(F2-4)</t>
  </si>
  <si>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1+0,078.J.c/(Sx.hc).(Lb/rts)</t>
    </r>
    <r>
      <rPr>
        <vertAlign val="superscript"/>
        <sz val="11"/>
        <rFont val="Aptos Narrow"/>
        <family val="2"/>
        <scheme val="minor"/>
      </rPr>
      <t>2</t>
    </r>
  </si>
  <si>
    <t>Batas minimum koefisien kondisi FLB</t>
  </si>
  <si>
    <t>kcmin</t>
  </si>
  <si>
    <t>(F3.2)</t>
  </si>
  <si>
    <t>Batas maksimum koefisien kondisi FLB</t>
  </si>
  <si>
    <t>kcmax</t>
  </si>
  <si>
    <t>Koefisien penyesuaian kondisi FLB</t>
  </si>
  <si>
    <t>kc</t>
  </si>
  <si>
    <r>
      <t>4/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(h/tw)</t>
    </r>
  </si>
  <si>
    <t>Koefisien penyesuaian kondisi FLB pakai</t>
  </si>
  <si>
    <t>Radius girasi efektif kondisi badan nonkompak</t>
  </si>
  <si>
    <t>rt</t>
  </si>
  <si>
    <r>
      <t>bf/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(12.(1+aw/6)</t>
    </r>
  </si>
  <si>
    <t>(F4-11)</t>
  </si>
  <si>
    <t>Rasio kelangsingan penampang nonkompak</t>
  </si>
  <si>
    <t>aw</t>
  </si>
  <si>
    <t>(hc.tw)/(bf.tf)</t>
  </si>
  <si>
    <t>(F4-12)</t>
  </si>
  <si>
    <r>
      <t>1,1.rt.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</si>
  <si>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(F4-7)</t>
  </si>
  <si>
    <t>kondisi badan nonkompak</t>
  </si>
  <si>
    <t>(1,95.rt.E)/FL.</t>
  </si>
  <si>
    <t>(F4-8)</t>
  </si>
  <si>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((J/Sx.hc)+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((J/Sx.hc)2+6,76.(FL/E)2))</t>
    </r>
  </si>
  <si>
    <t>Tegangan sayap tekan nominal</t>
  </si>
  <si>
    <t>FL</t>
  </si>
  <si>
    <t>0,7.Fy</t>
  </si>
  <si>
    <t>(F4-6a)</t>
  </si>
  <si>
    <t>Tegangan kritis kondisi sayap nonkompak</t>
  </si>
  <si>
    <r>
      <t>(Cb.</t>
    </r>
    <r>
      <rPr>
        <sz val="11"/>
        <rFont val="Symbol"/>
        <family val="1"/>
        <charset val="2"/>
      </rPr>
      <t>p</t>
    </r>
    <r>
      <rPr>
        <sz val="11"/>
        <rFont val="Aptos Narrow"/>
        <family val="2"/>
        <scheme val="minor"/>
      </rPr>
      <t>^2.E)/(Lb/rt)^2.</t>
    </r>
  </si>
  <si>
    <t>(F4-5)</t>
  </si>
  <si>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1+0,078.J/(Sx.hc).(Lb/rt)^2</t>
    </r>
  </si>
  <si>
    <t>Faktor plastifikasi badan kondisi FLB</t>
  </si>
  <si>
    <t>Rpc</t>
  </si>
  <si>
    <t>(F4.3)</t>
  </si>
  <si>
    <t>Faktor plastifikasi badan kondisi TFY</t>
  </si>
  <si>
    <t>Rpt</t>
  </si>
  <si>
    <t>(F4-17)</t>
  </si>
  <si>
    <t>Momen leleh pada sayap tekan</t>
  </si>
  <si>
    <t>Myc</t>
  </si>
  <si>
    <t>Fy.Sx</t>
  </si>
  <si>
    <t>(F4-4)</t>
  </si>
  <si>
    <t>Momen leleh pada sayap tarik</t>
  </si>
  <si>
    <t>Myt</t>
  </si>
  <si>
    <t>(F4-15)</t>
  </si>
  <si>
    <r>
      <rPr>
        <sz val="11"/>
        <rFont val="Symbol"/>
        <family val="1"/>
        <charset val="2"/>
      </rPr>
      <t>p</t>
    </r>
    <r>
      <rPr>
        <sz val="8.25"/>
        <rFont val="Aptos Narrow"/>
        <family val="2"/>
      </rPr>
      <t>.</t>
    </r>
    <r>
      <rPr>
        <sz val="11"/>
        <rFont val="Aptos Narrow"/>
        <family val="2"/>
        <scheme val="minor"/>
      </rPr>
      <t>rt.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(E/0,7.Fy)</t>
    </r>
  </si>
  <si>
    <t>(F5-5)</t>
  </si>
  <si>
    <t>kondisi badan langsing</t>
  </si>
  <si>
    <t>Tegangan kritis kondisi badan langsing</t>
  </si>
  <si>
    <t>Faktor reduksi kekuatan lentur kondisi FLB</t>
  </si>
  <si>
    <t>Rpg</t>
  </si>
  <si>
    <r>
      <t>1-aw/(1200+300.aw).(hc/tw-5,7.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(E/Fy))</t>
    </r>
  </si>
  <si>
    <t>(F5-6)</t>
  </si>
  <si>
    <t>Batas maksimal reduksi kekuatan lentur kondisi FLB</t>
  </si>
  <si>
    <t>Faktor reduksi kekuatan lentur kondisi FLB pakai</t>
  </si>
  <si>
    <t>LELEH (Y)</t>
  </si>
  <si>
    <t>(Pasal F2 SNI 1729:2020)</t>
  </si>
  <si>
    <t>Momen nominal batas leleh</t>
  </si>
  <si>
    <t>Mn = Mp</t>
  </si>
  <si>
    <t>Fy.Zx</t>
  </si>
  <si>
    <t>(F2-1)</t>
  </si>
  <si>
    <t>TEKUK TORSI LATERAL (LTB)</t>
  </si>
  <si>
    <t>Kondisi tekuk torsi lateral</t>
  </si>
  <si>
    <t>Momen nominal batas tekuk torsi lateral</t>
  </si>
  <si>
    <t>Syarat Mn &lt; Mp, maka</t>
  </si>
  <si>
    <t>(Pasal F3 SNI 1729:2020)</t>
  </si>
  <si>
    <t>TEKUK LOKAL SAYAP TEKAN (FLB)</t>
  </si>
  <si>
    <t>Kelangsingan penampang sayap</t>
  </si>
  <si>
    <t>Momen nominal batas tekuk lokal sayap tekan</t>
  </si>
  <si>
    <t>LELEH SAYAP TEKAN (CFY)</t>
  </si>
  <si>
    <t>(Pasal F4 SNI 1729:2020)</t>
  </si>
  <si>
    <t>Momen nominal batas leleh sayap tekan</t>
  </si>
  <si>
    <t>Rpc.Myc</t>
  </si>
  <si>
    <t>(F4-1)</t>
  </si>
  <si>
    <t>Syarat Mn &lt; Rpc.Myc, maka</t>
  </si>
  <si>
    <t>LELEH SAYAP TARIK (TFY)</t>
  </si>
  <si>
    <t>Momen nominal batas leleh sayap tarik</t>
  </si>
  <si>
    <t>Rpt.Myt</t>
  </si>
  <si>
    <t>(Pasal F5 SNI 1729:2020)</t>
  </si>
  <si>
    <t>Rpg.Fy.Sx</t>
  </si>
  <si>
    <t>(F5-1)</t>
  </si>
  <si>
    <t>Syarat Fcr &lt; Fy, maka</t>
  </si>
  <si>
    <t>(F5-2)</t>
  </si>
  <si>
    <t>Tegangan kritis</t>
  </si>
  <si>
    <t>(F5-10)</t>
  </si>
  <si>
    <t>KONTROL STRUKTUR TERHADAP MOMEN MINOR</t>
  </si>
  <si>
    <t>(Pasal F6 SNI 1729:2020)</t>
  </si>
  <si>
    <t>Fy.Zy</t>
  </si>
  <si>
    <t>(F6-1)</t>
  </si>
  <si>
    <t>Batas momen nominal leleh</t>
  </si>
  <si>
    <t>1,6.Fy.Sy</t>
  </si>
  <si>
    <t>Syarat Mn &lt; 1,6.Fy.Sy, maka</t>
  </si>
  <si>
    <t>(F6-2)</t>
  </si>
  <si>
    <t>PROPERTIES GESER</t>
  </si>
  <si>
    <t>Tersedia pengaku transversal</t>
  </si>
  <si>
    <t>Jarak bersih antara pengaku</t>
  </si>
  <si>
    <t>b1-t</t>
  </si>
  <si>
    <t>Rasio kelangsingan badan</t>
  </si>
  <si>
    <t>h/t</t>
  </si>
  <si>
    <t>(G2.2)</t>
  </si>
  <si>
    <t>Luas badan</t>
  </si>
  <si>
    <t>Aw</t>
  </si>
  <si>
    <t>ht.tw</t>
  </si>
  <si>
    <t>(G2.1.b)</t>
  </si>
  <si>
    <t>Koefisien tekuk geser badan</t>
  </si>
  <si>
    <t>kv</t>
  </si>
  <si>
    <t>(G2-5)</t>
  </si>
  <si>
    <t>Batas kelangsingan penampang</t>
  </si>
  <si>
    <r>
      <rPr>
        <sz val="11"/>
        <rFont val="Symbol"/>
        <family val="1"/>
        <charset val="2"/>
      </rPr>
      <t>1,1Ö</t>
    </r>
    <r>
      <rPr>
        <sz val="11"/>
        <rFont val="Aptos Narrow"/>
        <family val="2"/>
        <scheme val="minor"/>
      </rPr>
      <t>(kv.E/Fy)</t>
    </r>
  </si>
  <si>
    <t>(G2.1.a)</t>
  </si>
  <si>
    <r>
      <t>2,24</t>
    </r>
    <r>
      <rPr>
        <sz val="11"/>
        <rFont val="Symbol"/>
        <family val="1"/>
        <charset val="2"/>
      </rPr>
      <t>Ö</t>
    </r>
    <r>
      <rPr>
        <sz val="11"/>
        <rFont val="Aptos Narrow"/>
        <family val="2"/>
        <scheme val="minor"/>
      </rPr>
      <t>(E/Fy)</t>
    </r>
  </si>
  <si>
    <t>Kondisi kelangsingan 1</t>
  </si>
  <si>
    <t>Kondisi kelangsingan 2</t>
  </si>
  <si>
    <t>Kesimpulan kelangsingan</t>
  </si>
  <si>
    <t>Koefisien kekuatan geser badan</t>
  </si>
  <si>
    <t>Cv1</t>
  </si>
  <si>
    <t>Batas maksimum kondisi tekuk geser 1</t>
  </si>
  <si>
    <r>
      <t>1,1</t>
    </r>
    <r>
      <rPr>
        <sz val="11"/>
        <rFont val="Symbol"/>
        <family val="1"/>
        <charset val="2"/>
      </rPr>
      <t>Ö(</t>
    </r>
    <r>
      <rPr>
        <sz val="11"/>
        <rFont val="Aptos Narrow"/>
        <family val="2"/>
      </rPr>
      <t>kv.E/Fy)</t>
    </r>
  </si>
  <si>
    <t>Batas maksimum kondisi tekuk geser 2</t>
  </si>
  <si>
    <r>
      <t>1,37</t>
    </r>
    <r>
      <rPr>
        <sz val="11"/>
        <rFont val="Symbol"/>
        <family val="1"/>
        <charset val="2"/>
      </rPr>
      <t>Ö(</t>
    </r>
    <r>
      <rPr>
        <sz val="11"/>
        <rFont val="Aptos Narrow"/>
        <family val="2"/>
      </rPr>
      <t>kv.E/Fy)</t>
    </r>
  </si>
  <si>
    <t>Kesimpulan tekuk geser</t>
  </si>
  <si>
    <t>Koefisien kekuatan tekuk geser badan</t>
  </si>
  <si>
    <t>Cv2</t>
  </si>
  <si>
    <t>TANPA AKSI MEDAN TARIK</t>
  </si>
  <si>
    <t>Tahanan geser</t>
  </si>
  <si>
    <t>0,6.Fy.Aw.Cv1</t>
  </si>
  <si>
    <t>(G2-1)</t>
  </si>
  <si>
    <t>DENGAN AKSI MEDAN TARIK</t>
  </si>
  <si>
    <t>Kondisi 1</t>
  </si>
  <si>
    <t>Kondisi 2</t>
  </si>
  <si>
    <t>2Aw/(Afc+Aft)</t>
  </si>
  <si>
    <t>(G2.2.b)</t>
  </si>
  <si>
    <t>Kondisi 3</t>
  </si>
  <si>
    <t>h/bfc</t>
  </si>
  <si>
    <t>Kondisi 4</t>
  </si>
  <si>
    <t>h/bft</t>
  </si>
  <si>
    <t>Maka,</t>
  </si>
  <si>
    <t>PROPERTIES TORSI</t>
  </si>
  <si>
    <t>Tegangan normal</t>
  </si>
  <si>
    <t>Fn</t>
  </si>
  <si>
    <t>(H3-7)</t>
  </si>
  <si>
    <t>Tegangan geser</t>
  </si>
  <si>
    <t>0,6.Fy</t>
  </si>
  <si>
    <t>(H3-8)</t>
  </si>
  <si>
    <t>Tegangan tekuk</t>
  </si>
  <si>
    <t>(H3-9)</t>
  </si>
  <si>
    <t>TAHANAN TORSI</t>
  </si>
  <si>
    <t>Tahanan torsi terhadap tegangan normal</t>
  </si>
  <si>
    <t>Fn.C</t>
  </si>
  <si>
    <t>(H3-1)</t>
  </si>
  <si>
    <t>Tahanan torsi terhadap tegangan geser</t>
  </si>
  <si>
    <t>Tahanan torsi terhadap tegangan tekuk</t>
  </si>
  <si>
    <t>KOMBINASI GAYA</t>
  </si>
  <si>
    <t>KOMBINASI LENTUR DAN AKSIAL TEKAN</t>
  </si>
  <si>
    <t>Aksial tekan ultimate</t>
  </si>
  <si>
    <t>Momen ultimate sumbu mayor</t>
  </si>
  <si>
    <t>Momen ultimate sumbu minor</t>
  </si>
  <si>
    <t>Aksial tekan nominal terkecil</t>
  </si>
  <si>
    <t>Momen nominal sumbu mayor terkecil</t>
  </si>
  <si>
    <t>Mnx</t>
  </si>
  <si>
    <t>Momen nominal sumbu minor terkecil</t>
  </si>
  <si>
    <t>Mny</t>
  </si>
  <si>
    <t>Kondisi kombinasi gaya</t>
  </si>
  <si>
    <t>Pu/Pn</t>
  </si>
  <si>
    <t>KOMBINASI LENTUR DAN AKSIAL TARIK</t>
  </si>
  <si>
    <t>Aksial tarik ultimate</t>
  </si>
  <si>
    <t>Aksial tarik nominal terkecil</t>
  </si>
  <si>
    <t>Tebal sayap</t>
  </si>
  <si>
    <t>Momen inersia sumbu mayor</t>
  </si>
  <si>
    <t>Momen inersia sumbu minor</t>
  </si>
  <si>
    <t>Radius girasi sumbu mayor</t>
  </si>
  <si>
    <t>Modulus elastis sumbu mayor</t>
  </si>
  <si>
    <t>Modulus plastis sumbu mayor</t>
  </si>
  <si>
    <t>Radius girasi sumbu minor</t>
  </si>
  <si>
    <t>Modulus elastis sumbu minor</t>
  </si>
  <si>
    <t>Modulus plastis sumbu minor</t>
  </si>
  <si>
    <t>Pn (kN)</t>
  </si>
  <si>
    <t>Pu (kN)</t>
  </si>
  <si>
    <t>Mn (kNm)</t>
  </si>
  <si>
    <t>Mu (kNm)</t>
  </si>
  <si>
    <t>Vn (kN)</t>
  </si>
  <si>
    <t>Vu (kN)</t>
  </si>
  <si>
    <t>Tn (kNm)</t>
  </si>
  <si>
    <t>Tu (kNm)</t>
  </si>
  <si>
    <t>𝜑t.Pn (kN)</t>
  </si>
  <si>
    <t>𝜑t</t>
  </si>
  <si>
    <t>Pn/𝜑t (kN)</t>
  </si>
  <si>
    <t>Status</t>
  </si>
  <si>
    <t>Jarak terpendek tepi lubang ke tepi struktur</t>
  </si>
  <si>
    <t>𝜑c</t>
  </si>
  <si>
    <t>Pn/𝜑c (kN)</t>
  </si>
  <si>
    <t>𝜑c.Pn (Kn)</t>
  </si>
  <si>
    <t>𝜑b</t>
  </si>
  <si>
    <t>𝜑b.Mn (kNm)</t>
  </si>
  <si>
    <t>Mn/𝜑b (kNm)</t>
  </si>
  <si>
    <t>𝜑v</t>
  </si>
  <si>
    <t>𝜑v.Vn (kN)</t>
  </si>
  <si>
    <t>Vn/𝜑v (kN)</t>
  </si>
  <si>
    <t>𝜑T</t>
  </si>
  <si>
    <t>𝜑T.Tn (kNm)</t>
  </si>
  <si>
    <t>Tn/𝜑T (kNm)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</si>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</sst>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Times New Roman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Symbol"/>
      <family val="1"/>
      <charset val="2"/>
    </font>
    <font>
      <b/>
      <sz val="11"/>
      <color rgb="FFFFFF00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sz val="11"/>
      <name val="Aptos Narrow"/>
      <family val="1"/>
      <charset val="2"/>
      <scheme val="minor"/>
    </font>
    <font>
      <b/>
      <sz val="11"/>
      <name val="Symbol"/>
      <family val="1"/>
      <charset val="2"/>
    </font>
    <font>
      <vertAlign val="subscript"/>
      <sz val="11"/>
      <name val="Aptos Narrow"/>
      <family val="2"/>
      <scheme val="minor"/>
    </font>
    <font>
      <sz val="11"/>
      <name val="Aptos Narrow"/>
      <family val="2"/>
      <charset val="2"/>
      <scheme val="minor"/>
    </font>
    <font>
      <sz val="8.25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49" fontId="7" fillId="0" borderId="0" xfId="0" applyNumberFormat="1" applyFont="1" applyAlignment="1" applyProtection="1">
      <alignment horizontal="left"/>
      <protection hidden="1"/>
    </xf>
    <xf numFmtId="2" fontId="3" fillId="0" borderId="0" xfId="0" applyNumberFormat="1" applyFont="1" applyAlignment="1" applyProtection="1">
      <alignment horizontal="center"/>
      <protection locked="0" hidden="1"/>
    </xf>
    <xf numFmtId="2" fontId="3" fillId="0" borderId="0" xfId="0" applyNumberFormat="1" applyFont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3" fillId="0" borderId="0" xfId="0" quotePrefix="1" applyFont="1" applyAlignment="1" applyProtection="1">
      <alignment horizontal="center"/>
      <protection hidden="1"/>
    </xf>
    <xf numFmtId="1" fontId="3" fillId="0" borderId="0" xfId="0" applyNumberFormat="1" applyFont="1" applyAlignment="1" applyProtection="1">
      <alignment horizontal="center"/>
      <protection locked="0" hidden="1"/>
    </xf>
    <xf numFmtId="0" fontId="9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locked="0" hidden="1"/>
    </xf>
    <xf numFmtId="0" fontId="9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right"/>
      <protection hidden="1"/>
    </xf>
    <xf numFmtId="49" fontId="3" fillId="0" borderId="0" xfId="0" applyNumberFormat="1" applyFont="1" applyAlignment="1" applyProtection="1">
      <alignment horizontal="center"/>
      <protection hidden="1"/>
    </xf>
    <xf numFmtId="1" fontId="3" fillId="0" borderId="0" xfId="0" applyNumberFormat="1" applyFont="1" applyAlignment="1" applyProtection="1">
      <alignment horizontal="center"/>
      <protection hidden="1"/>
    </xf>
    <xf numFmtId="2" fontId="3" fillId="0" borderId="0" xfId="0" applyNumberFormat="1" applyFont="1" applyAlignment="1" applyProtection="1">
      <alignment horizontal="center" vertical="center"/>
      <protection hidden="1"/>
    </xf>
    <xf numFmtId="2" fontId="8" fillId="0" borderId="0" xfId="0" applyNumberFormat="1" applyFont="1" applyAlignment="1" applyProtection="1">
      <alignment horizontal="center"/>
      <protection hidden="1"/>
    </xf>
    <xf numFmtId="0" fontId="7" fillId="2" borderId="1" xfId="0" applyFont="1" applyFill="1" applyBorder="1" applyAlignment="1" applyProtection="1">
      <alignment horizontal="center"/>
      <protection hidden="1"/>
    </xf>
    <xf numFmtId="49" fontId="3" fillId="0" borderId="1" xfId="0" applyNumberFormat="1" applyFont="1" applyBorder="1" applyProtection="1"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49" fontId="3" fillId="0" borderId="0" xfId="0" applyNumberFormat="1" applyFont="1" applyProtection="1"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" fontId="3" fillId="0" borderId="0" xfId="0" applyNumberFormat="1" applyFont="1" applyProtection="1">
      <protection hidden="1"/>
    </xf>
    <xf numFmtId="2" fontId="11" fillId="0" borderId="0" xfId="0" applyNumberFormat="1" applyFont="1" applyAlignment="1" applyProtection="1">
      <alignment horizontal="center"/>
      <protection hidden="1"/>
    </xf>
    <xf numFmtId="1" fontId="3" fillId="0" borderId="0" xfId="0" applyNumberFormat="1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horizontal="right"/>
      <protection hidden="1"/>
    </xf>
    <xf numFmtId="0" fontId="11" fillId="0" borderId="0" xfId="0" applyFont="1" applyAlignment="1" applyProtection="1">
      <alignment horizontal="center"/>
      <protection hidden="1"/>
    </xf>
    <xf numFmtId="2" fontId="3" fillId="0" borderId="0" xfId="0" applyNumberFormat="1" applyFont="1" applyProtection="1">
      <protection hidden="1"/>
    </xf>
    <xf numFmtId="0" fontId="7" fillId="0" borderId="0" xfId="0" applyFont="1" applyProtection="1">
      <protection hidden="1"/>
    </xf>
    <xf numFmtId="2" fontId="3" fillId="0" borderId="0" xfId="0" applyNumberFormat="1" applyFont="1" applyAlignment="1" applyProtection="1">
      <alignment vertical="center"/>
      <protection hidden="1"/>
    </xf>
    <xf numFmtId="164" fontId="3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49" fontId="7" fillId="0" borderId="0" xfId="0" applyNumberFormat="1" applyFont="1" applyProtection="1">
      <protection hidden="1"/>
    </xf>
    <xf numFmtId="1" fontId="14" fillId="0" borderId="0" xfId="0" applyNumberFormat="1" applyFont="1" applyProtection="1">
      <protection hidden="1"/>
    </xf>
    <xf numFmtId="0" fontId="11" fillId="0" borderId="0" xfId="0" applyFont="1" applyProtection="1">
      <protection hidden="1"/>
    </xf>
    <xf numFmtId="2" fontId="11" fillId="0" borderId="0" xfId="0" applyNumberFormat="1" applyFont="1" applyProtection="1">
      <protection hidden="1"/>
    </xf>
    <xf numFmtId="2" fontId="3" fillId="0" borderId="1" xfId="0" applyNumberFormat="1" applyFont="1" applyBorder="1" applyProtection="1">
      <protection hidden="1"/>
    </xf>
    <xf numFmtId="2" fontId="3" fillId="0" borderId="2" xfId="0" applyNumberFormat="1" applyFont="1" applyBorder="1" applyProtection="1">
      <protection hidden="1"/>
    </xf>
    <xf numFmtId="0" fontId="7" fillId="2" borderId="1" xfId="0" applyFont="1" applyFill="1" applyBorder="1" applyAlignment="1" applyProtection="1">
      <alignment vertical="center"/>
      <protection hidden="1"/>
    </xf>
    <xf numFmtId="0" fontId="7" fillId="2" borderId="1" xfId="0" applyFont="1" applyFill="1" applyBorder="1" applyProtection="1">
      <protection hidden="1"/>
    </xf>
    <xf numFmtId="0" fontId="7" fillId="2" borderId="2" xfId="0" applyFont="1" applyFill="1" applyBorder="1" applyProtection="1">
      <protection hidden="1"/>
    </xf>
    <xf numFmtId="49" fontId="7" fillId="0" borderId="5" xfId="0" applyNumberFormat="1" applyFont="1" applyBorder="1" applyProtection="1">
      <protection hidden="1"/>
    </xf>
    <xf numFmtId="0" fontId="7" fillId="2" borderId="6" xfId="0" applyFont="1" applyFill="1" applyBorder="1" applyAlignment="1" applyProtection="1">
      <alignment vertical="center"/>
      <protection hidden="1"/>
    </xf>
    <xf numFmtId="0" fontId="7" fillId="2" borderId="7" xfId="0" applyFont="1" applyFill="1" applyBorder="1" applyAlignment="1" applyProtection="1">
      <alignment vertical="center"/>
      <protection hidden="1"/>
    </xf>
    <xf numFmtId="0" fontId="12" fillId="2" borderId="7" xfId="0" applyFont="1" applyFill="1" applyBorder="1" applyAlignment="1" applyProtection="1">
      <alignment vertical="center"/>
      <protection hidden="1"/>
    </xf>
    <xf numFmtId="0" fontId="7" fillId="2" borderId="8" xfId="0" applyFont="1" applyFill="1" applyBorder="1" applyAlignment="1" applyProtection="1">
      <alignment vertical="center"/>
      <protection hidden="1"/>
    </xf>
    <xf numFmtId="0" fontId="7" fillId="2" borderId="9" xfId="0" applyFont="1" applyFill="1" applyBorder="1" applyAlignment="1" applyProtection="1">
      <alignment vertical="center"/>
      <protection hidden="1"/>
    </xf>
    <xf numFmtId="0" fontId="7" fillId="0" borderId="0" xfId="0" applyFont="1" applyProtection="1">
      <protection locked="0" hidden="1"/>
    </xf>
    <xf numFmtId="0" fontId="5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3" fillId="0" borderId="1" xfId="0" applyFont="1" applyBorder="1" applyAlignment="1" applyProtection="1">
      <alignment horizont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FORMAT%20FILE\SNI%201729-2020.xlsm" TargetMode="External"/><Relationship Id="rId1" Type="http://schemas.openxmlformats.org/officeDocument/2006/relationships/externalLinkPath" Target="/FORMAT%20FILE/SNI%201729-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 WF"/>
      <sheetName val="Tabel CNP"/>
      <sheetName val="Tabel Hollow"/>
      <sheetName val="Tabel Pipe"/>
      <sheetName val="Tabel Angle"/>
      <sheetName val="Tabel Bar"/>
      <sheetName val="Tabel UNP"/>
      <sheetName val="WF"/>
      <sheetName val="UNP"/>
      <sheetName val="Tabel Plate"/>
      <sheetName val="CNP"/>
      <sheetName val="Hollow"/>
      <sheetName val="Pipe"/>
      <sheetName val="Angle"/>
      <sheetName val="Plate"/>
      <sheetName val="Bar"/>
      <sheetName val="Padeye"/>
      <sheetName val="Eyebar"/>
      <sheetName val="Tabel Padeye"/>
      <sheetName val="WF BB"/>
      <sheetName val="UNP BB"/>
      <sheetName val="Hollow BB"/>
      <sheetName val="Pipe BB"/>
      <sheetName val="Hollow IB"/>
      <sheetName val="Pipe IB"/>
      <sheetName val="Las"/>
      <sheetName val="Tabel Baut"/>
      <sheetName val="Baut"/>
      <sheetName val="PANDUAN PAS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1AD0-64C2-4EDD-9509-A798FE1BEF2C}">
  <sheetPr codeName="TabelWF"/>
  <dimension ref="A1:F37"/>
  <sheetViews>
    <sheetView view="pageBreakPreview" zoomScale="91" zoomScaleNormal="100" workbookViewId="0">
      <selection activeCell="M4" sqref="M4"/>
    </sheetView>
  </sheetViews>
  <sheetFormatPr defaultColWidth="9" defaultRowHeight="15.6" x14ac:dyDescent="0.3"/>
  <cols>
    <col min="1" max="1" width="11.59765625" style="1" bestFit="1" customWidth="1"/>
    <col min="2" max="3" width="3.8984375" style="1" bestFit="1" customWidth="1"/>
    <col min="4" max="4" width="3.59765625" style="1" bestFit="1" customWidth="1"/>
    <col min="5" max="6" width="2.8984375" style="1" bestFit="1" customWidth="1"/>
    <col min="7" max="16384" width="9" style="1"/>
  </cols>
  <sheetData>
    <row r="1" spans="1:6" ht="29.4" customHeight="1" x14ac:dyDescent="0.3">
      <c r="A1" s="61" t="s">
        <v>0</v>
      </c>
      <c r="B1" s="62" t="s">
        <v>1</v>
      </c>
      <c r="C1" s="63"/>
      <c r="D1" s="63"/>
      <c r="E1" s="63"/>
      <c r="F1" s="64"/>
    </row>
    <row r="2" spans="1:6" x14ac:dyDescent="0.3">
      <c r="A2" s="61"/>
      <c r="B2" s="62" t="s">
        <v>2</v>
      </c>
      <c r="C2" s="63"/>
      <c r="D2" s="63"/>
      <c r="E2" s="63"/>
      <c r="F2" s="64"/>
    </row>
    <row r="3" spans="1:6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3">
      <c r="A4" s="3" t="s">
        <v>9</v>
      </c>
      <c r="B4" s="4">
        <v>100</v>
      </c>
      <c r="C4" s="4">
        <v>50</v>
      </c>
      <c r="D4" s="4">
        <v>5</v>
      </c>
      <c r="E4" s="4">
        <v>7</v>
      </c>
      <c r="F4" s="4">
        <v>8</v>
      </c>
    </row>
    <row r="5" spans="1:6" x14ac:dyDescent="0.3">
      <c r="A5" s="3" t="s">
        <v>10</v>
      </c>
      <c r="B5" s="4">
        <v>100</v>
      </c>
      <c r="C5" s="4">
        <v>100</v>
      </c>
      <c r="D5" s="4">
        <v>6</v>
      </c>
      <c r="E5" s="4">
        <v>8</v>
      </c>
      <c r="F5" s="4">
        <v>10</v>
      </c>
    </row>
    <row r="6" spans="1:6" x14ac:dyDescent="0.3">
      <c r="A6" s="3" t="s">
        <v>11</v>
      </c>
      <c r="B6" s="4">
        <v>125</v>
      </c>
      <c r="C6" s="4">
        <v>60</v>
      </c>
      <c r="D6" s="4">
        <v>6</v>
      </c>
      <c r="E6" s="4">
        <v>8</v>
      </c>
      <c r="F6" s="4">
        <v>9</v>
      </c>
    </row>
    <row r="7" spans="1:6" x14ac:dyDescent="0.3">
      <c r="A7" s="3" t="s">
        <v>12</v>
      </c>
      <c r="B7" s="4">
        <v>125</v>
      </c>
      <c r="C7" s="4">
        <v>125</v>
      </c>
      <c r="D7" s="4">
        <v>6.5</v>
      </c>
      <c r="E7" s="4">
        <v>9</v>
      </c>
      <c r="F7" s="4">
        <v>10</v>
      </c>
    </row>
    <row r="8" spans="1:6" x14ac:dyDescent="0.3">
      <c r="A8" s="3" t="s">
        <v>13</v>
      </c>
      <c r="B8" s="4">
        <v>150</v>
      </c>
      <c r="C8" s="4">
        <v>75</v>
      </c>
      <c r="D8" s="4">
        <v>5</v>
      </c>
      <c r="E8" s="4">
        <v>7</v>
      </c>
      <c r="F8" s="4">
        <v>8</v>
      </c>
    </row>
    <row r="9" spans="1:6" x14ac:dyDescent="0.3">
      <c r="A9" s="3" t="s">
        <v>14</v>
      </c>
      <c r="B9" s="4">
        <v>150</v>
      </c>
      <c r="C9" s="4">
        <v>100</v>
      </c>
      <c r="D9" s="4">
        <v>6</v>
      </c>
      <c r="E9" s="4">
        <v>9</v>
      </c>
      <c r="F9" s="4">
        <v>11</v>
      </c>
    </row>
    <row r="10" spans="1:6" x14ac:dyDescent="0.3">
      <c r="A10" s="3" t="s">
        <v>15</v>
      </c>
      <c r="B10" s="4">
        <v>150</v>
      </c>
      <c r="C10" s="4">
        <v>150</v>
      </c>
      <c r="D10" s="4">
        <v>7</v>
      </c>
      <c r="E10" s="4">
        <v>10</v>
      </c>
      <c r="F10" s="4">
        <v>11</v>
      </c>
    </row>
    <row r="11" spans="1:6" x14ac:dyDescent="0.3">
      <c r="A11" s="3" t="s">
        <v>16</v>
      </c>
      <c r="B11" s="4">
        <v>175</v>
      </c>
      <c r="C11" s="4">
        <v>90</v>
      </c>
      <c r="D11" s="4">
        <v>5</v>
      </c>
      <c r="E11" s="4">
        <v>8</v>
      </c>
      <c r="F11" s="4">
        <v>9</v>
      </c>
    </row>
    <row r="12" spans="1:6" x14ac:dyDescent="0.3">
      <c r="A12" s="3" t="s">
        <v>17</v>
      </c>
      <c r="B12" s="4">
        <v>175</v>
      </c>
      <c r="C12" s="4">
        <v>125</v>
      </c>
      <c r="D12" s="4">
        <v>5.5</v>
      </c>
      <c r="E12" s="4">
        <v>8</v>
      </c>
      <c r="F12" s="4">
        <v>12</v>
      </c>
    </row>
    <row r="13" spans="1:6" x14ac:dyDescent="0.3">
      <c r="A13" s="3" t="s">
        <v>18</v>
      </c>
      <c r="B13" s="4">
        <v>175</v>
      </c>
      <c r="C13" s="4">
        <v>175</v>
      </c>
      <c r="D13" s="4">
        <v>7.5</v>
      </c>
      <c r="E13" s="4">
        <v>11</v>
      </c>
      <c r="F13" s="4">
        <v>12</v>
      </c>
    </row>
    <row r="14" spans="1:6" x14ac:dyDescent="0.3">
      <c r="A14" s="3" t="s">
        <v>19</v>
      </c>
      <c r="B14" s="4">
        <v>200</v>
      </c>
      <c r="C14" s="4">
        <v>100</v>
      </c>
      <c r="D14" s="4">
        <v>5.5</v>
      </c>
      <c r="E14" s="4">
        <v>9</v>
      </c>
      <c r="F14" s="4">
        <v>11</v>
      </c>
    </row>
    <row r="15" spans="1:6" x14ac:dyDescent="0.3">
      <c r="A15" s="3" t="s">
        <v>20</v>
      </c>
      <c r="B15" s="4">
        <v>200</v>
      </c>
      <c r="C15" s="4">
        <v>150</v>
      </c>
      <c r="D15" s="4">
        <v>6</v>
      </c>
      <c r="E15" s="4">
        <v>9</v>
      </c>
      <c r="F15" s="4">
        <v>12</v>
      </c>
    </row>
    <row r="16" spans="1:6" x14ac:dyDescent="0.3">
      <c r="A16" s="3" t="s">
        <v>21</v>
      </c>
      <c r="B16" s="4">
        <v>200</v>
      </c>
      <c r="C16" s="4">
        <v>200</v>
      </c>
      <c r="D16" s="4">
        <v>8</v>
      </c>
      <c r="E16" s="4">
        <v>12</v>
      </c>
      <c r="F16" s="4">
        <v>13</v>
      </c>
    </row>
    <row r="17" spans="1:6" x14ac:dyDescent="0.3">
      <c r="A17" s="3" t="s">
        <v>22</v>
      </c>
      <c r="B17" s="4">
        <v>250</v>
      </c>
      <c r="C17" s="4">
        <v>125</v>
      </c>
      <c r="D17" s="4">
        <v>6</v>
      </c>
      <c r="E17" s="4">
        <v>9</v>
      </c>
      <c r="F17" s="4">
        <v>12</v>
      </c>
    </row>
    <row r="18" spans="1:6" x14ac:dyDescent="0.3">
      <c r="A18" s="3" t="s">
        <v>23</v>
      </c>
      <c r="B18" s="4">
        <v>250</v>
      </c>
      <c r="C18" s="4">
        <v>175</v>
      </c>
      <c r="D18" s="4">
        <v>7</v>
      </c>
      <c r="E18" s="4">
        <v>11</v>
      </c>
      <c r="F18" s="4">
        <v>16</v>
      </c>
    </row>
    <row r="19" spans="1:6" x14ac:dyDescent="0.3">
      <c r="A19" s="3" t="s">
        <v>24</v>
      </c>
      <c r="B19" s="4">
        <v>250</v>
      </c>
      <c r="C19" s="4">
        <v>250</v>
      </c>
      <c r="D19" s="4">
        <v>9</v>
      </c>
      <c r="E19" s="4">
        <v>14</v>
      </c>
      <c r="F19" s="4">
        <v>16</v>
      </c>
    </row>
    <row r="20" spans="1:6" x14ac:dyDescent="0.3">
      <c r="A20" s="3" t="s">
        <v>25</v>
      </c>
      <c r="B20" s="4">
        <v>300</v>
      </c>
      <c r="C20" s="4">
        <v>150</v>
      </c>
      <c r="D20" s="4">
        <v>6.5</v>
      </c>
      <c r="E20" s="4">
        <v>9</v>
      </c>
      <c r="F20" s="4">
        <v>13</v>
      </c>
    </row>
    <row r="21" spans="1:6" x14ac:dyDescent="0.3">
      <c r="A21" s="3" t="s">
        <v>26</v>
      </c>
      <c r="B21" s="4">
        <v>300</v>
      </c>
      <c r="C21" s="4">
        <v>200</v>
      </c>
      <c r="D21" s="4">
        <v>9</v>
      </c>
      <c r="E21" s="4">
        <v>14</v>
      </c>
      <c r="F21" s="4">
        <v>18</v>
      </c>
    </row>
    <row r="22" spans="1:6" x14ac:dyDescent="0.3">
      <c r="A22" s="3" t="s">
        <v>27</v>
      </c>
      <c r="B22" s="4">
        <v>300</v>
      </c>
      <c r="C22" s="4">
        <v>300</v>
      </c>
      <c r="D22" s="4">
        <v>10</v>
      </c>
      <c r="E22" s="4">
        <v>15</v>
      </c>
      <c r="F22" s="4">
        <v>18</v>
      </c>
    </row>
    <row r="23" spans="1:6" x14ac:dyDescent="0.3">
      <c r="A23" s="3" t="s">
        <v>28</v>
      </c>
      <c r="B23" s="4">
        <v>350</v>
      </c>
      <c r="C23" s="4">
        <v>175</v>
      </c>
      <c r="D23" s="4">
        <v>7</v>
      </c>
      <c r="E23" s="4">
        <v>11</v>
      </c>
      <c r="F23" s="4">
        <v>14</v>
      </c>
    </row>
    <row r="24" spans="1:6" x14ac:dyDescent="0.3">
      <c r="A24" s="3" t="s">
        <v>29</v>
      </c>
      <c r="B24" s="4">
        <v>350</v>
      </c>
      <c r="C24" s="4">
        <v>250</v>
      </c>
      <c r="D24" s="4">
        <v>9</v>
      </c>
      <c r="E24" s="4">
        <v>14</v>
      </c>
      <c r="F24" s="4">
        <v>20</v>
      </c>
    </row>
    <row r="25" spans="1:6" x14ac:dyDescent="0.3">
      <c r="A25" s="3" t="s">
        <v>30</v>
      </c>
      <c r="B25" s="4">
        <v>350</v>
      </c>
      <c r="C25" s="4">
        <v>350</v>
      </c>
      <c r="D25" s="4">
        <v>12</v>
      </c>
      <c r="E25" s="4">
        <v>19</v>
      </c>
      <c r="F25" s="4">
        <v>20</v>
      </c>
    </row>
    <row r="26" spans="1:6" x14ac:dyDescent="0.3">
      <c r="A26" s="3" t="s">
        <v>31</v>
      </c>
      <c r="B26" s="4">
        <v>400</v>
      </c>
      <c r="C26" s="4">
        <v>200</v>
      </c>
      <c r="D26" s="4">
        <v>8</v>
      </c>
      <c r="E26" s="4">
        <v>13</v>
      </c>
      <c r="F26" s="4">
        <v>16</v>
      </c>
    </row>
    <row r="27" spans="1:6" x14ac:dyDescent="0.3">
      <c r="A27" s="3" t="s">
        <v>32</v>
      </c>
      <c r="B27" s="4">
        <v>400</v>
      </c>
      <c r="C27" s="4">
        <v>300</v>
      </c>
      <c r="D27" s="4">
        <v>10</v>
      </c>
      <c r="E27" s="4">
        <v>16</v>
      </c>
      <c r="F27" s="4">
        <v>22</v>
      </c>
    </row>
    <row r="28" spans="1:6" x14ac:dyDescent="0.3">
      <c r="A28" s="3" t="s">
        <v>33</v>
      </c>
      <c r="B28" s="4">
        <v>400</v>
      </c>
      <c r="C28" s="4">
        <v>450</v>
      </c>
      <c r="D28" s="4">
        <v>13</v>
      </c>
      <c r="E28" s="4">
        <v>21</v>
      </c>
      <c r="F28" s="4">
        <v>22</v>
      </c>
    </row>
    <row r="29" spans="1:6" x14ac:dyDescent="0.3">
      <c r="A29" s="3" t="s">
        <v>34</v>
      </c>
      <c r="B29" s="4">
        <v>450</v>
      </c>
      <c r="C29" s="4">
        <v>200</v>
      </c>
      <c r="D29" s="4">
        <v>9</v>
      </c>
      <c r="E29" s="4">
        <v>14</v>
      </c>
      <c r="F29" s="4">
        <v>18</v>
      </c>
    </row>
    <row r="30" spans="1:6" x14ac:dyDescent="0.3">
      <c r="A30" s="3" t="s">
        <v>35</v>
      </c>
      <c r="B30" s="4">
        <v>450</v>
      </c>
      <c r="C30" s="4">
        <v>300</v>
      </c>
      <c r="D30" s="4">
        <v>11</v>
      </c>
      <c r="E30" s="4">
        <v>18</v>
      </c>
      <c r="F30" s="4">
        <v>24</v>
      </c>
    </row>
    <row r="31" spans="1:6" x14ac:dyDescent="0.3">
      <c r="A31" s="3" t="s">
        <v>36</v>
      </c>
      <c r="B31" s="4">
        <v>500</v>
      </c>
      <c r="C31" s="4">
        <v>200</v>
      </c>
      <c r="D31" s="4">
        <v>10</v>
      </c>
      <c r="E31" s="4">
        <v>16</v>
      </c>
      <c r="F31" s="4">
        <v>20</v>
      </c>
    </row>
    <row r="32" spans="1:6" x14ac:dyDescent="0.3">
      <c r="A32" s="3" t="s">
        <v>37</v>
      </c>
      <c r="B32" s="4">
        <v>500</v>
      </c>
      <c r="C32" s="4">
        <v>300</v>
      </c>
      <c r="D32" s="4">
        <v>11</v>
      </c>
      <c r="E32" s="4">
        <v>18</v>
      </c>
      <c r="F32" s="4">
        <v>26</v>
      </c>
    </row>
    <row r="33" spans="1:6" x14ac:dyDescent="0.3">
      <c r="A33" s="3" t="s">
        <v>38</v>
      </c>
      <c r="B33" s="4">
        <v>600</v>
      </c>
      <c r="C33" s="4">
        <v>200</v>
      </c>
      <c r="D33" s="4">
        <v>11</v>
      </c>
      <c r="E33" s="4">
        <v>17</v>
      </c>
      <c r="F33" s="4">
        <v>22</v>
      </c>
    </row>
    <row r="34" spans="1:6" x14ac:dyDescent="0.3">
      <c r="A34" s="3" t="s">
        <v>39</v>
      </c>
      <c r="B34" s="4">
        <v>600</v>
      </c>
      <c r="C34" s="4">
        <v>300</v>
      </c>
      <c r="D34" s="4">
        <v>12</v>
      </c>
      <c r="E34" s="4">
        <v>20</v>
      </c>
      <c r="F34" s="4">
        <v>28</v>
      </c>
    </row>
    <row r="35" spans="1:6" x14ac:dyDescent="0.3">
      <c r="A35" s="3" t="s">
        <v>40</v>
      </c>
      <c r="B35" s="4">
        <v>700</v>
      </c>
      <c r="C35" s="4">
        <v>300</v>
      </c>
      <c r="D35" s="4">
        <v>13</v>
      </c>
      <c r="E35" s="4">
        <v>24</v>
      </c>
      <c r="F35" s="4">
        <v>28</v>
      </c>
    </row>
    <row r="36" spans="1:6" x14ac:dyDescent="0.3">
      <c r="A36" s="3" t="s">
        <v>41</v>
      </c>
      <c r="B36" s="4">
        <v>800</v>
      </c>
      <c r="C36" s="4">
        <v>300</v>
      </c>
      <c r="D36" s="4">
        <v>14</v>
      </c>
      <c r="E36" s="4">
        <v>26</v>
      </c>
      <c r="F36" s="4">
        <v>28</v>
      </c>
    </row>
    <row r="37" spans="1:6" x14ac:dyDescent="0.3">
      <c r="A37" s="3" t="s">
        <v>42</v>
      </c>
      <c r="B37" s="4">
        <v>900</v>
      </c>
      <c r="C37" s="4">
        <v>300</v>
      </c>
      <c r="D37" s="4">
        <v>16</v>
      </c>
      <c r="E37" s="4">
        <v>28</v>
      </c>
      <c r="F37" s="4">
        <v>28</v>
      </c>
    </row>
  </sheetData>
  <sheetProtection selectLockedCells="1" selectUnlockedCells="1"/>
  <mergeCells count="3">
    <mergeCell ref="A1:A2"/>
    <mergeCell ref="B1:F1"/>
    <mergeCell ref="B2:F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42FD-C53B-4522-8BEE-5D3E813B739A}">
  <sheetPr codeName="WF">
    <pageSetUpPr fitToPage="1"/>
  </sheetPr>
  <dimension ref="A1:R492"/>
  <sheetViews>
    <sheetView showGridLines="0" tabSelected="1" view="pageBreakPreview" topLeftCell="A166" zoomScale="82" zoomScaleNormal="84" zoomScaleSheetLayoutView="100" workbookViewId="0">
      <selection activeCell="I163" sqref="I163"/>
    </sheetView>
  </sheetViews>
  <sheetFormatPr defaultColWidth="9" defaultRowHeight="14.4" x14ac:dyDescent="0.3"/>
  <cols>
    <col min="1" max="1" width="2.09765625" style="6" bestFit="1" customWidth="1"/>
    <col min="2" max="2" width="1.8984375" style="7" bestFit="1" customWidth="1"/>
    <col min="3" max="3" width="23.3984375" style="6" bestFit="1" customWidth="1"/>
    <col min="4" max="4" width="7.8984375" style="5" bestFit="1" customWidth="1"/>
    <col min="5" max="5" width="11.09765625" style="5" bestFit="1" customWidth="1"/>
    <col min="6" max="6" width="13.69921875" style="37" bestFit="1" customWidth="1"/>
    <col min="7" max="7" width="11.3984375" style="5" bestFit="1" customWidth="1"/>
    <col min="8" max="8" width="6.5" style="5" bestFit="1" customWidth="1"/>
    <col min="9" max="9" width="14.09765625" style="5" bestFit="1" customWidth="1"/>
    <col min="10" max="10" width="8.59765625" style="5" bestFit="1" customWidth="1"/>
    <col min="11" max="11" width="8.796875" style="18" bestFit="1" customWidth="1"/>
    <col min="12" max="12" width="6.5" style="18" bestFit="1" customWidth="1"/>
    <col min="13" max="13" width="6.8984375" style="5" hidden="1" customWidth="1"/>
    <col min="14" max="14" width="5" style="6" hidden="1" customWidth="1"/>
    <col min="15" max="15" width="5" style="6" customWidth="1"/>
    <col min="16" max="16384" width="9" style="6"/>
  </cols>
  <sheetData>
    <row r="1" spans="1:15" ht="21" x14ac:dyDescent="0.4">
      <c r="A1" s="58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5" ht="18" x14ac:dyDescent="0.35">
      <c r="A2" s="59" t="str">
        <f>E20</f>
        <v>WF 100 x 100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5" x14ac:dyDescent="0.3">
      <c r="B3" s="6"/>
      <c r="D3" s="6"/>
      <c r="E3" s="6"/>
      <c r="F3" s="6"/>
      <c r="G3" s="6"/>
      <c r="H3" s="6"/>
      <c r="I3" s="6"/>
      <c r="J3" s="6"/>
      <c r="K3" s="6"/>
      <c r="L3" s="6"/>
    </row>
    <row r="4" spans="1:15" x14ac:dyDescent="0.3">
      <c r="A4" s="7" t="str" cm="1">
        <f t="array" aca="1" ref="A4" ca="1">IF(AND(EXACT(M4,"SUBBAB"),SUBTOTAL(103,OFFSET(M4,0,0))),CHAR(64+SUMPRODUCT((EXACT(M$4:M4,"SUBBAB"))*SUBTOTAL(103,OFFSET(M$4,ROW(M$4:M4)-ROW(M$4),0)))),"")</f>
        <v>A</v>
      </c>
      <c r="B4" s="42" t="s">
        <v>44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5" t="s">
        <v>45</v>
      </c>
    </row>
    <row r="5" spans="1:15" x14ac:dyDescent="0.3">
      <c r="A5" s="7" t="str" cm="1">
        <f t="array" aca="1" ref="A5" ca="1">IF(AND(EXACT(M5,"SUBBAB"),SUBTOTAL(103,OFFSET(M5,0,0))),CHAR(64+SUMPRODUCT((EXACT(M$4:M5,"SUBBAB"))*SUBTOTAL(103,OFFSET(M$4,ROW(M$4:M5)-ROW(M$4),0)))),"")</f>
        <v/>
      </c>
      <c r="B5" s="7">
        <f>IF(N5="ANAK",_xlfn.AGGREGATE(2,5,$B$4:B4)+1,"")</f>
        <v>1</v>
      </c>
      <c r="C5" s="42" t="s">
        <v>46</v>
      </c>
      <c r="D5" s="42"/>
      <c r="E5" s="42"/>
      <c r="F5" s="42"/>
      <c r="G5" s="42"/>
      <c r="H5" s="42"/>
      <c r="I5" s="42"/>
      <c r="J5" s="42"/>
      <c r="K5" s="42"/>
      <c r="L5" s="42"/>
      <c r="N5" s="5" t="s">
        <v>47</v>
      </c>
      <c r="O5" s="5"/>
    </row>
    <row r="6" spans="1:15" x14ac:dyDescent="0.3">
      <c r="A6" s="38"/>
      <c r="B6" s="38"/>
      <c r="C6" s="6" t="s">
        <v>48</v>
      </c>
      <c r="D6" s="5" t="s">
        <v>49</v>
      </c>
      <c r="E6" s="9">
        <v>1</v>
      </c>
      <c r="F6" s="5" t="s">
        <v>51</v>
      </c>
      <c r="H6" s="5" t="s">
        <v>50</v>
      </c>
      <c r="I6" s="5">
        <f>E6*10^3</f>
        <v>1000</v>
      </c>
      <c r="J6" s="5" t="s">
        <v>3</v>
      </c>
      <c r="K6" s="6"/>
      <c r="L6" s="6"/>
      <c r="N6" s="5"/>
      <c r="O6" s="5"/>
    </row>
    <row r="7" spans="1:15" x14ac:dyDescent="0.3">
      <c r="A7" s="38"/>
      <c r="B7" s="38"/>
      <c r="C7" s="6" t="s">
        <v>52</v>
      </c>
      <c r="D7" s="5" t="s">
        <v>53</v>
      </c>
      <c r="E7" s="9">
        <v>0</v>
      </c>
      <c r="F7" s="5" t="s">
        <v>51</v>
      </c>
      <c r="H7" s="5" t="s">
        <v>50</v>
      </c>
      <c r="I7" s="5">
        <f>E7*10^3</f>
        <v>0</v>
      </c>
      <c r="J7" s="5" t="s">
        <v>3</v>
      </c>
      <c r="K7" s="6"/>
      <c r="L7" s="6"/>
      <c r="N7" s="5"/>
      <c r="O7" s="5"/>
    </row>
    <row r="8" spans="1:15" x14ac:dyDescent="0.3">
      <c r="A8" s="38"/>
      <c r="B8" s="38"/>
      <c r="C8" s="6" t="s">
        <v>54</v>
      </c>
      <c r="D8" s="5" t="s">
        <v>55</v>
      </c>
      <c r="E8" s="9">
        <v>10</v>
      </c>
      <c r="F8" s="5" t="s">
        <v>56</v>
      </c>
      <c r="H8" s="5" t="s">
        <v>50</v>
      </c>
      <c r="I8" s="10">
        <f t="shared" ref="I8:I13" si="0">ROUNDUP(E8*98,2)</f>
        <v>980</v>
      </c>
      <c r="J8" s="5" t="s">
        <v>57</v>
      </c>
      <c r="K8" s="6"/>
      <c r="L8" s="6"/>
      <c r="N8" s="5"/>
      <c r="O8" s="5"/>
    </row>
    <row r="9" spans="1:15" x14ac:dyDescent="0.3">
      <c r="A9" s="38"/>
      <c r="B9" s="38"/>
      <c r="C9" s="6" t="s">
        <v>58</v>
      </c>
      <c r="D9" s="5" t="s">
        <v>55</v>
      </c>
      <c r="E9" s="9">
        <v>10</v>
      </c>
      <c r="F9" s="5" t="s">
        <v>56</v>
      </c>
      <c r="H9" s="5" t="s">
        <v>50</v>
      </c>
      <c r="I9" s="10">
        <f t="shared" si="0"/>
        <v>980</v>
      </c>
      <c r="J9" s="5" t="s">
        <v>57</v>
      </c>
      <c r="K9" s="6"/>
      <c r="L9" s="6"/>
      <c r="N9" s="5"/>
      <c r="O9" s="5"/>
    </row>
    <row r="10" spans="1:15" x14ac:dyDescent="0.3">
      <c r="A10" s="38"/>
      <c r="B10" s="38"/>
      <c r="C10" s="6" t="s">
        <v>59</v>
      </c>
      <c r="D10" s="5" t="s">
        <v>60</v>
      </c>
      <c r="E10" s="9">
        <v>100</v>
      </c>
      <c r="F10" s="5" t="s">
        <v>61</v>
      </c>
      <c r="H10" s="5" t="s">
        <v>50</v>
      </c>
      <c r="I10" s="10">
        <f t="shared" si="0"/>
        <v>9800</v>
      </c>
      <c r="J10" s="5" t="s">
        <v>62</v>
      </c>
      <c r="K10" s="6"/>
      <c r="L10" s="6"/>
      <c r="N10" s="5"/>
      <c r="O10" s="5"/>
    </row>
    <row r="11" spans="1:15" x14ac:dyDescent="0.3">
      <c r="A11" s="38"/>
      <c r="B11" s="38"/>
      <c r="C11" s="6" t="s">
        <v>63</v>
      </c>
      <c r="D11" s="5" t="s">
        <v>64</v>
      </c>
      <c r="E11" s="9">
        <v>100</v>
      </c>
      <c r="F11" s="5" t="s">
        <v>61</v>
      </c>
      <c r="H11" s="5" t="s">
        <v>50</v>
      </c>
      <c r="I11" s="10">
        <f t="shared" si="0"/>
        <v>9800</v>
      </c>
      <c r="J11" s="5" t="s">
        <v>62</v>
      </c>
      <c r="K11" s="6"/>
      <c r="L11" s="6"/>
      <c r="N11" s="5"/>
      <c r="O11" s="5"/>
    </row>
    <row r="12" spans="1:15" x14ac:dyDescent="0.3">
      <c r="A12" s="38"/>
      <c r="B12" s="38"/>
      <c r="C12" s="6" t="s">
        <v>65</v>
      </c>
      <c r="D12" s="5" t="s">
        <v>66</v>
      </c>
      <c r="E12" s="9">
        <v>10</v>
      </c>
      <c r="F12" s="5" t="s">
        <v>56</v>
      </c>
      <c r="H12" s="5" t="s">
        <v>50</v>
      </c>
      <c r="I12" s="10">
        <f t="shared" si="0"/>
        <v>980</v>
      </c>
      <c r="J12" s="5" t="s">
        <v>57</v>
      </c>
      <c r="K12" s="6"/>
      <c r="L12" s="6"/>
      <c r="N12" s="5"/>
      <c r="O12" s="5"/>
    </row>
    <row r="13" spans="1:15" x14ac:dyDescent="0.3">
      <c r="A13" s="38"/>
      <c r="B13" s="38"/>
      <c r="C13" s="6" t="s">
        <v>67</v>
      </c>
      <c r="D13" s="5" t="s">
        <v>68</v>
      </c>
      <c r="E13" s="9">
        <v>20</v>
      </c>
      <c r="F13" s="5" t="s">
        <v>61</v>
      </c>
      <c r="H13" s="5" t="s">
        <v>50</v>
      </c>
      <c r="I13" s="10">
        <f t="shared" si="0"/>
        <v>1960</v>
      </c>
      <c r="J13" s="5" t="s">
        <v>62</v>
      </c>
      <c r="K13" s="6"/>
      <c r="L13" s="6"/>
      <c r="N13" s="5"/>
      <c r="O13" s="5"/>
    </row>
    <row r="14" spans="1:15" x14ac:dyDescent="0.3">
      <c r="A14" s="38"/>
      <c r="B14" s="38"/>
      <c r="C14" s="6" t="s">
        <v>69</v>
      </c>
      <c r="D14" s="11" t="s">
        <v>70</v>
      </c>
      <c r="E14" s="9">
        <v>2</v>
      </c>
      <c r="F14" s="5" t="s">
        <v>3</v>
      </c>
      <c r="H14" s="6"/>
      <c r="I14" s="6"/>
      <c r="J14" s="6"/>
      <c r="K14" s="6"/>
      <c r="L14" s="6"/>
      <c r="N14" s="5"/>
      <c r="O14" s="5"/>
    </row>
    <row r="15" spans="1:15" x14ac:dyDescent="0.3">
      <c r="A15" s="38"/>
      <c r="B15" s="38"/>
      <c r="C15" s="6" t="s">
        <v>76</v>
      </c>
      <c r="D15" s="5" t="s">
        <v>77</v>
      </c>
      <c r="E15" s="13">
        <v>250</v>
      </c>
      <c r="F15" s="5" t="s">
        <v>75</v>
      </c>
      <c r="H15" s="6"/>
      <c r="I15" s="6"/>
      <c r="J15" s="6"/>
      <c r="K15" s="6"/>
      <c r="L15" s="6"/>
      <c r="N15" s="14"/>
      <c r="O15" s="14"/>
    </row>
    <row r="16" spans="1:15" x14ac:dyDescent="0.3">
      <c r="A16" s="38"/>
      <c r="B16" s="38"/>
      <c r="C16" s="6" t="s">
        <v>78</v>
      </c>
      <c r="D16" s="5" t="s">
        <v>79</v>
      </c>
      <c r="E16" s="13">
        <v>400</v>
      </c>
      <c r="F16" s="5" t="s">
        <v>75</v>
      </c>
      <c r="H16" s="6"/>
      <c r="I16" s="6"/>
      <c r="J16" s="6"/>
      <c r="K16" s="6"/>
      <c r="L16" s="6"/>
      <c r="N16" s="5"/>
      <c r="O16" s="5"/>
    </row>
    <row r="17" spans="1:15" x14ac:dyDescent="0.3">
      <c r="A17" s="38"/>
      <c r="B17" s="38"/>
      <c r="C17" s="6" t="s">
        <v>80</v>
      </c>
      <c r="D17" s="6"/>
      <c r="E17" s="16" t="s">
        <v>500</v>
      </c>
      <c r="F17" s="5"/>
      <c r="H17" s="6"/>
      <c r="I17" s="6"/>
      <c r="J17" s="6"/>
      <c r="K17" s="6"/>
      <c r="L17" s="6"/>
      <c r="N17" s="5"/>
      <c r="O17" s="5"/>
    </row>
    <row r="18" spans="1:15" x14ac:dyDescent="0.3">
      <c r="A18" s="38"/>
      <c r="B18" s="38"/>
      <c r="C18" s="38"/>
      <c r="D18" s="38"/>
      <c r="E18" s="38"/>
      <c r="F18" s="38"/>
      <c r="H18" s="38"/>
      <c r="I18" s="38"/>
      <c r="J18" s="38"/>
      <c r="K18" s="38"/>
      <c r="L18" s="38"/>
      <c r="N18" s="5"/>
      <c r="O18" s="5"/>
    </row>
    <row r="19" spans="1:15" x14ac:dyDescent="0.3">
      <c r="A19" s="7" t="str" cm="1">
        <f t="array" aca="1" ref="A19" ca="1">IF(AND(EXACT(M19,"SUBBAB"),SUBTOTAL(103,OFFSET(M19,0,0))),CHAR(64+SUMPRODUCT((EXACT(M$4:M19,"SUBBAB"))*SUBTOTAL(103,OFFSET(M$4,ROW(M$4:M19)-ROW(M$4),0)))),"")</f>
        <v/>
      </c>
      <c r="B19" s="7">
        <f>IF(N19="ANAK",_xlfn.AGGREGATE(2,5,$B$4:B18)+1,"")</f>
        <v>2</v>
      </c>
      <c r="C19" s="42" t="s">
        <v>81</v>
      </c>
      <c r="D19" s="42"/>
      <c r="E19" s="42"/>
      <c r="F19" s="42"/>
      <c r="H19" s="42"/>
      <c r="I19" s="42"/>
      <c r="J19" s="42"/>
      <c r="K19" s="42"/>
      <c r="L19" s="42"/>
      <c r="N19" s="5" t="s">
        <v>47</v>
      </c>
      <c r="O19" s="5"/>
    </row>
    <row r="20" spans="1:15" s="18" customFormat="1" x14ac:dyDescent="0.3">
      <c r="A20" s="38"/>
      <c r="B20" s="38"/>
      <c r="C20" s="6" t="s">
        <v>82</v>
      </c>
      <c r="D20" s="6"/>
      <c r="E20" s="57" t="s">
        <v>10</v>
      </c>
      <c r="F20" s="57"/>
      <c r="H20" s="6"/>
      <c r="I20" s="6"/>
      <c r="J20" s="6"/>
      <c r="K20" s="6"/>
      <c r="L20" s="6"/>
      <c r="M20" s="17"/>
    </row>
    <row r="21" spans="1:15" s="18" customFormat="1" x14ac:dyDescent="0.3">
      <c r="A21" s="38"/>
      <c r="B21" s="38"/>
      <c r="C21" s="6" t="s">
        <v>83</v>
      </c>
      <c r="D21" s="19" t="s">
        <v>4</v>
      </c>
      <c r="E21" s="20">
        <f>_xlfn.XLOOKUP($E$20,'Tabel WF'!$A:$A,'Tabel WF'!B:B)</f>
        <v>100</v>
      </c>
      <c r="F21" s="5" t="s">
        <v>3</v>
      </c>
      <c r="H21" s="6"/>
      <c r="I21" s="6"/>
      <c r="J21" s="6"/>
      <c r="K21" s="6"/>
      <c r="L21" s="6"/>
      <c r="M21" s="5"/>
      <c r="N21" s="5"/>
      <c r="O21" s="5"/>
    </row>
    <row r="22" spans="1:15" s="18" customFormat="1" x14ac:dyDescent="0.3">
      <c r="A22" s="38"/>
      <c r="B22" s="38"/>
      <c r="C22" s="6" t="s">
        <v>84</v>
      </c>
      <c r="D22" s="19" t="s">
        <v>5</v>
      </c>
      <c r="E22" s="20">
        <f>_xlfn.XLOOKUP($E$20,'Tabel WF'!$A:$A,'Tabel WF'!C:C)</f>
        <v>100</v>
      </c>
      <c r="F22" s="5" t="s">
        <v>3</v>
      </c>
      <c r="H22" s="6"/>
      <c r="I22" s="6"/>
      <c r="J22" s="6"/>
      <c r="K22" s="6"/>
      <c r="L22" s="6"/>
      <c r="M22" s="17"/>
    </row>
    <row r="23" spans="1:15" s="18" customFormat="1" x14ac:dyDescent="0.3">
      <c r="A23" s="38"/>
      <c r="B23" s="38"/>
      <c r="C23" s="6" t="s">
        <v>85</v>
      </c>
      <c r="D23" s="19" t="s">
        <v>6</v>
      </c>
      <c r="E23" s="20">
        <f>_xlfn.XLOOKUP($E$20,'Tabel WF'!$A:$A,'Tabel WF'!D:D)</f>
        <v>6</v>
      </c>
      <c r="F23" s="5" t="s">
        <v>3</v>
      </c>
      <c r="K23" s="6"/>
      <c r="L23" s="6"/>
      <c r="M23" s="17"/>
    </row>
    <row r="24" spans="1:15" s="18" customFormat="1" x14ac:dyDescent="0.3">
      <c r="A24" s="38"/>
      <c r="B24" s="38"/>
      <c r="C24" s="6" t="s">
        <v>466</v>
      </c>
      <c r="D24" s="19" t="s">
        <v>7</v>
      </c>
      <c r="E24" s="20">
        <f>_xlfn.XLOOKUP($E$20,'Tabel WF'!$A:$A,'Tabel WF'!E:E)</f>
        <v>8</v>
      </c>
      <c r="F24" s="5" t="s">
        <v>3</v>
      </c>
      <c r="H24" s="6"/>
      <c r="I24" s="6"/>
      <c r="J24" s="6"/>
      <c r="K24" s="6"/>
      <c r="L24" s="6"/>
      <c r="M24" s="17"/>
    </row>
    <row r="25" spans="1:15" s="18" customFormat="1" x14ac:dyDescent="0.3">
      <c r="A25" s="38"/>
      <c r="B25" s="38"/>
      <c r="C25" s="6" t="s">
        <v>86</v>
      </c>
      <c r="D25" s="19" t="s">
        <v>8</v>
      </c>
      <c r="E25" s="20">
        <f>_xlfn.XLOOKUP($E$20,'Tabel WF'!$A:$A,'Tabel WF'!F:F)</f>
        <v>10</v>
      </c>
      <c r="F25" s="5" t="s">
        <v>3</v>
      </c>
      <c r="H25" s="6"/>
      <c r="I25" s="6"/>
      <c r="J25" s="6"/>
      <c r="K25" s="6"/>
      <c r="L25" s="6"/>
      <c r="M25" s="17"/>
    </row>
    <row r="26" spans="1:15" s="18" customFormat="1" x14ac:dyDescent="0.3">
      <c r="A26" s="38"/>
      <c r="B26" s="38"/>
      <c r="C26" s="6" t="s">
        <v>103</v>
      </c>
      <c r="D26" s="5" t="s">
        <v>104</v>
      </c>
      <c r="E26" s="20">
        <f>E21-E24</f>
        <v>92</v>
      </c>
      <c r="F26" s="5" t="s">
        <v>3</v>
      </c>
      <c r="H26" s="6"/>
      <c r="I26" s="6"/>
      <c r="J26" s="6"/>
      <c r="K26" s="6"/>
      <c r="L26" s="6"/>
      <c r="M26" s="17"/>
    </row>
    <row r="27" spans="1:15" s="18" customFormat="1" ht="16.2" x14ac:dyDescent="0.3">
      <c r="A27" s="38"/>
      <c r="B27" s="38"/>
      <c r="C27" s="6" t="s">
        <v>87</v>
      </c>
      <c r="D27" s="19" t="s">
        <v>88</v>
      </c>
      <c r="E27" s="20">
        <f>2*E22*E24+(E21-2*E24)*E23+((2*E25)^2-PI()*E25^2)</f>
        <v>2189.8407346410208</v>
      </c>
      <c r="F27" s="5" t="s">
        <v>89</v>
      </c>
      <c r="H27" s="6"/>
      <c r="I27" s="6"/>
      <c r="J27" s="6"/>
      <c r="K27" s="6"/>
      <c r="L27" s="6"/>
      <c r="M27" s="17"/>
    </row>
    <row r="28" spans="1:15" s="18" customFormat="1" x14ac:dyDescent="0.3">
      <c r="A28" s="38"/>
      <c r="B28" s="38"/>
      <c r="C28" s="6" t="s">
        <v>90</v>
      </c>
      <c r="D28" s="19" t="s">
        <v>91</v>
      </c>
      <c r="E28" s="20">
        <f>7850*E27/10^6</f>
        <v>17.190249766932013</v>
      </c>
      <c r="F28" s="5" t="s">
        <v>92</v>
      </c>
      <c r="H28" s="6"/>
      <c r="I28" s="6"/>
      <c r="J28" s="6"/>
      <c r="K28" s="6"/>
      <c r="L28" s="6"/>
      <c r="M28" s="17"/>
    </row>
    <row r="29" spans="1:15" s="18" customFormat="1" ht="16.2" x14ac:dyDescent="0.3">
      <c r="A29" s="38"/>
      <c r="B29" s="38"/>
      <c r="C29" s="6" t="s">
        <v>467</v>
      </c>
      <c r="D29" s="19" t="s">
        <v>93</v>
      </c>
      <c r="E29" s="20">
        <f>((E22*E21^3)-(E22-E23)*(E21-2*E24)^3)/12+E25^4/3+4*E25^2*(E21/2-E24-E25/2)^2-(PI()^4/16+PI()^2/4*(E21/2-E24-E25+4*E25/(3*PI()^2)))</f>
        <v>4241330.2884299355</v>
      </c>
      <c r="F29" s="5" t="s">
        <v>94</v>
      </c>
      <c r="H29" s="6"/>
      <c r="I29" s="6"/>
      <c r="J29" s="6"/>
      <c r="K29" s="6"/>
      <c r="L29" s="6"/>
      <c r="M29" s="17"/>
    </row>
    <row r="30" spans="1:15" s="18" customFormat="1" ht="16.2" x14ac:dyDescent="0.3">
      <c r="A30" s="38"/>
      <c r="B30" s="38"/>
      <c r="C30" s="6" t="s">
        <v>468</v>
      </c>
      <c r="D30" s="19" t="s">
        <v>95</v>
      </c>
      <c r="E30" s="20">
        <f>((((E21-2*E24)*E23^3+2*E24*E22^3)/12))</f>
        <v>1334845.3333333333</v>
      </c>
      <c r="F30" s="5" t="s">
        <v>94</v>
      </c>
      <c r="H30" s="6"/>
      <c r="I30" s="6"/>
      <c r="J30" s="6"/>
      <c r="K30" s="6"/>
      <c r="L30" s="6"/>
      <c r="M30" s="17"/>
    </row>
    <row r="31" spans="1:15" s="18" customFormat="1" x14ac:dyDescent="0.3">
      <c r="A31" s="38"/>
      <c r="B31" s="38"/>
      <c r="C31" s="6" t="s">
        <v>469</v>
      </c>
      <c r="D31" s="19" t="s">
        <v>96</v>
      </c>
      <c r="E31" s="20">
        <f>SQRT(E29/E27)</f>
        <v>44.009332535475501</v>
      </c>
      <c r="F31" s="5" t="s">
        <v>3</v>
      </c>
      <c r="H31" s="6"/>
      <c r="I31" s="6"/>
      <c r="J31" s="6"/>
      <c r="K31" s="6"/>
      <c r="L31" s="6"/>
      <c r="M31" s="17"/>
    </row>
    <row r="32" spans="1:15" s="18" customFormat="1" x14ac:dyDescent="0.3">
      <c r="A32" s="38"/>
      <c r="B32" s="38"/>
      <c r="C32" s="6" t="s">
        <v>472</v>
      </c>
      <c r="D32" s="19" t="s">
        <v>97</v>
      </c>
      <c r="E32" s="20">
        <f>SQRT(E30/E27)</f>
        <v>24.689324551968465</v>
      </c>
      <c r="F32" s="5" t="s">
        <v>3</v>
      </c>
      <c r="H32" s="6"/>
      <c r="I32" s="6"/>
      <c r="J32" s="6"/>
      <c r="K32" s="6"/>
      <c r="L32" s="6"/>
      <c r="M32" s="5"/>
    </row>
    <row r="33" spans="1:15" s="18" customFormat="1" ht="16.2" x14ac:dyDescent="0.3">
      <c r="A33" s="38"/>
      <c r="B33" s="38"/>
      <c r="C33" s="6" t="s">
        <v>470</v>
      </c>
      <c r="D33" s="19" t="s">
        <v>98</v>
      </c>
      <c r="E33" s="20">
        <f>E29/(E21/2)</f>
        <v>84826.605768598703</v>
      </c>
      <c r="F33" s="5" t="s">
        <v>99</v>
      </c>
      <c r="H33" s="6"/>
      <c r="I33" s="6"/>
      <c r="J33" s="6"/>
      <c r="K33" s="6"/>
      <c r="L33" s="6"/>
      <c r="M33" s="5"/>
    </row>
    <row r="34" spans="1:15" ht="16.2" x14ac:dyDescent="0.3">
      <c r="A34" s="38"/>
      <c r="B34" s="38"/>
      <c r="C34" s="6" t="s">
        <v>473</v>
      </c>
      <c r="D34" s="19" t="s">
        <v>100</v>
      </c>
      <c r="E34" s="20">
        <f>E30/(E22/2)</f>
        <v>26696.906666666666</v>
      </c>
      <c r="F34" s="5" t="s">
        <v>99</v>
      </c>
      <c r="H34" s="6"/>
      <c r="I34" s="6"/>
      <c r="J34" s="6"/>
      <c r="K34" s="6"/>
      <c r="L34" s="6"/>
    </row>
    <row r="35" spans="1:15" ht="16.2" x14ac:dyDescent="0.3">
      <c r="A35" s="38"/>
      <c r="B35" s="38"/>
      <c r="C35" s="6" t="s">
        <v>471</v>
      </c>
      <c r="D35" s="5" t="s">
        <v>101</v>
      </c>
      <c r="E35" s="20">
        <f>2*E22*E24*(E21/2-E24/2)</f>
        <v>73600</v>
      </c>
      <c r="F35" s="5" t="s">
        <v>99</v>
      </c>
      <c r="H35" s="6"/>
      <c r="I35" s="6"/>
      <c r="J35" s="6"/>
      <c r="K35" s="6"/>
      <c r="L35" s="6"/>
    </row>
    <row r="36" spans="1:15" ht="16.2" x14ac:dyDescent="0.3">
      <c r="A36" s="38"/>
      <c r="B36" s="38"/>
      <c r="C36" s="6" t="s">
        <v>474</v>
      </c>
      <c r="D36" s="5" t="s">
        <v>102</v>
      </c>
      <c r="E36" s="20">
        <f>2*E22*E24*(E22/2-(E22-E23)/4)</f>
        <v>42400</v>
      </c>
      <c r="F36" s="5" t="s">
        <v>99</v>
      </c>
      <c r="H36" s="6"/>
      <c r="I36" s="6"/>
      <c r="J36" s="6"/>
      <c r="K36" s="6"/>
      <c r="L36" s="6"/>
    </row>
    <row r="37" spans="1:15" x14ac:dyDescent="0.3">
      <c r="A37" s="38"/>
      <c r="B37" s="38"/>
      <c r="C37" s="6" t="s">
        <v>71</v>
      </c>
      <c r="D37" s="5" t="s">
        <v>72</v>
      </c>
      <c r="E37" s="9">
        <v>0.3</v>
      </c>
      <c r="F37" s="6"/>
      <c r="H37" s="6"/>
      <c r="I37" s="6"/>
      <c r="J37" s="6"/>
      <c r="K37" s="6"/>
      <c r="L37" s="6"/>
      <c r="N37" s="5"/>
      <c r="O37" s="5"/>
    </row>
    <row r="38" spans="1:15" x14ac:dyDescent="0.3">
      <c r="A38" s="38"/>
      <c r="B38" s="38"/>
      <c r="C38" s="6" t="s">
        <v>73</v>
      </c>
      <c r="D38" s="12" t="s">
        <v>74</v>
      </c>
      <c r="E38" s="13">
        <v>200000</v>
      </c>
      <c r="F38" s="5" t="s">
        <v>75</v>
      </c>
      <c r="H38" s="6"/>
      <c r="I38" s="6"/>
      <c r="J38" s="6"/>
      <c r="K38" s="6"/>
      <c r="L38" s="6"/>
      <c r="N38" s="14"/>
      <c r="O38" s="14"/>
    </row>
    <row r="39" spans="1:15" x14ac:dyDescent="0.3">
      <c r="A39" s="38"/>
      <c r="B39" s="38"/>
      <c r="C39" s="6" t="s">
        <v>105</v>
      </c>
      <c r="D39" s="5" t="s">
        <v>106</v>
      </c>
      <c r="E39" s="20">
        <f>E38/(2*(1+E37))</f>
        <v>76923.076923076922</v>
      </c>
      <c r="F39" s="5" t="s">
        <v>75</v>
      </c>
      <c r="H39" s="6"/>
      <c r="I39" s="6"/>
      <c r="J39" s="6"/>
      <c r="K39" s="6"/>
      <c r="L39" s="6"/>
    </row>
    <row r="40" spans="1:15" ht="16.2" x14ac:dyDescent="0.3">
      <c r="A40" s="38"/>
      <c r="B40" s="38"/>
      <c r="C40" s="6" t="s">
        <v>107</v>
      </c>
      <c r="D40" s="5" t="s">
        <v>108</v>
      </c>
      <c r="E40" s="20">
        <f>1/3*E23^3*(E21-2*E24)+1/3*2*E24^3*(E22-E23)</f>
        <v>38133.333333333328</v>
      </c>
      <c r="F40" s="5" t="s">
        <v>94</v>
      </c>
      <c r="H40" s="6"/>
      <c r="I40" s="6"/>
      <c r="J40" s="6"/>
      <c r="K40" s="6"/>
      <c r="L40" s="6"/>
    </row>
    <row r="41" spans="1:15" ht="16.2" x14ac:dyDescent="0.3">
      <c r="A41" s="38"/>
      <c r="B41" s="38"/>
      <c r="C41" s="6" t="s">
        <v>109</v>
      </c>
      <c r="D41" s="5" t="s">
        <v>110</v>
      </c>
      <c r="E41" s="20">
        <f>E40/E31</f>
        <v>866.48288297929571</v>
      </c>
      <c r="F41" s="5" t="s">
        <v>99</v>
      </c>
      <c r="H41" s="6"/>
      <c r="I41" s="6"/>
      <c r="J41" s="6"/>
      <c r="K41" s="6"/>
      <c r="L41" s="6"/>
    </row>
    <row r="42" spans="1:15" ht="16.2" x14ac:dyDescent="0.3">
      <c r="A42" s="38"/>
      <c r="B42" s="38"/>
      <c r="C42" s="6" t="s">
        <v>111</v>
      </c>
      <c r="D42" s="5" t="s">
        <v>112</v>
      </c>
      <c r="E42" s="20">
        <f>1/24*(E22-E23)^3*E24*E21^2</f>
        <v>2768613333.333333</v>
      </c>
      <c r="F42" s="5" t="s">
        <v>113</v>
      </c>
      <c r="H42" s="6"/>
      <c r="I42" s="6"/>
      <c r="J42" s="6"/>
      <c r="K42" s="6"/>
      <c r="L42" s="6"/>
    </row>
    <row r="43" spans="1:15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1:15" x14ac:dyDescent="0.3">
      <c r="A44" s="7" t="str" cm="1">
        <f t="array" aca="1" ref="A44" ca="1">IF(AND(EXACT(M44,"SUBBAB"),SUBTOTAL(103,OFFSET(M44,0,0))),CHAR(64+SUMPRODUCT((EXACT(M$4:M44,"SUBBAB"))*SUBTOTAL(103,OFFSET(M$4,ROW(M$4:M44)-ROW(M$4),0)))),"")</f>
        <v>B</v>
      </c>
      <c r="B44" s="42" t="s">
        <v>114</v>
      </c>
      <c r="C44" s="42"/>
      <c r="D44" s="42"/>
      <c r="E44" s="42"/>
      <c r="F44" s="42"/>
      <c r="G44" s="42"/>
      <c r="H44" s="6"/>
      <c r="I44" s="6"/>
      <c r="J44" s="6"/>
      <c r="K44" s="6"/>
      <c r="L44" s="6"/>
      <c r="M44" s="5" t="s">
        <v>45</v>
      </c>
    </row>
    <row r="45" spans="1:15" ht="15.6" customHeight="1" x14ac:dyDescent="0.3">
      <c r="A45" s="7" t="str" cm="1">
        <f t="array" aca="1" ref="A45" ca="1">IF(AND(EXACT(M45,"SUBBAB"),SUBTOTAL(103,OFFSET(M45,0,0))),CHAR(64+SUMPRODUCT((EXACT(M$4:M45,"SUBBAB"))*SUBTOTAL(103,OFFSET(M$4,ROW(M$4:M45)-ROW(M$4),0)))),"")</f>
        <v/>
      </c>
      <c r="B45" s="7">
        <f>IF(N45="ANAK",_xlfn.AGGREGATE(2,5,$B42:B$44)+1,"")</f>
        <v>1</v>
      </c>
      <c r="C45" s="42" t="s">
        <v>115</v>
      </c>
      <c r="D45" s="42"/>
      <c r="E45" s="42"/>
      <c r="F45" s="42"/>
      <c r="G45" s="42"/>
      <c r="H45" s="38" t="s">
        <v>116</v>
      </c>
      <c r="I45" s="38"/>
      <c r="J45" s="38"/>
      <c r="K45" s="38"/>
      <c r="L45" s="38"/>
      <c r="N45" s="5" t="s">
        <v>47</v>
      </c>
      <c r="O45" s="5"/>
    </row>
    <row r="46" spans="1:15" x14ac:dyDescent="0.3">
      <c r="A46" s="38"/>
      <c r="B46" s="38"/>
      <c r="C46" s="6" t="s">
        <v>117</v>
      </c>
      <c r="D46" s="6"/>
      <c r="E46" s="6"/>
      <c r="F46" s="6"/>
      <c r="G46" s="11" t="s">
        <v>70</v>
      </c>
      <c r="H46" s="5" t="s">
        <v>50</v>
      </c>
      <c r="I46" s="10">
        <f>E14</f>
        <v>2</v>
      </c>
      <c r="J46" s="15" t="s">
        <v>3</v>
      </c>
      <c r="K46" s="6"/>
      <c r="L46" s="6"/>
      <c r="N46" s="5"/>
      <c r="O46" s="5"/>
    </row>
    <row r="47" spans="1:15" x14ac:dyDescent="0.3">
      <c r="A47" s="38"/>
      <c r="B47" s="38"/>
      <c r="C47" s="6" t="s">
        <v>118</v>
      </c>
      <c r="D47" s="6"/>
      <c r="E47" s="6"/>
      <c r="F47" s="6"/>
      <c r="G47" s="11" t="s">
        <v>119</v>
      </c>
      <c r="H47" s="5" t="s">
        <v>50</v>
      </c>
      <c r="I47" s="21" t="s">
        <v>120</v>
      </c>
      <c r="J47" s="6"/>
      <c r="K47" s="6"/>
      <c r="L47" s="6"/>
      <c r="N47" s="5"/>
      <c r="O47" s="5"/>
    </row>
    <row r="48" spans="1:15" x14ac:dyDescent="0.3">
      <c r="A48" s="38"/>
      <c r="B48" s="38"/>
      <c r="C48" s="38"/>
      <c r="D48" s="38"/>
      <c r="E48" s="38"/>
      <c r="F48" s="38"/>
      <c r="G48" s="38"/>
      <c r="H48" s="5" t="s">
        <v>50</v>
      </c>
      <c r="I48" s="21">
        <f>I6/360</f>
        <v>2.7777777777777777</v>
      </c>
      <c r="J48" s="15" t="s">
        <v>3</v>
      </c>
      <c r="K48" s="6"/>
      <c r="L48" s="6"/>
      <c r="N48" s="5"/>
      <c r="O48" s="5"/>
    </row>
    <row r="49" spans="1:15" x14ac:dyDescent="0.3">
      <c r="A49" s="38"/>
      <c r="B49" s="38"/>
      <c r="C49" s="6" t="s">
        <v>121</v>
      </c>
      <c r="D49" s="6"/>
      <c r="E49" s="6"/>
      <c r="F49" s="6"/>
      <c r="G49" s="11" t="s">
        <v>70</v>
      </c>
      <c r="H49" s="11" t="s">
        <v>122</v>
      </c>
      <c r="I49" s="11" t="s">
        <v>119</v>
      </c>
      <c r="J49" s="6"/>
      <c r="K49" s="6"/>
      <c r="L49" s="6"/>
      <c r="N49" s="5"/>
      <c r="O49" s="5"/>
    </row>
    <row r="50" spans="1:15" x14ac:dyDescent="0.3">
      <c r="A50" s="38"/>
      <c r="B50" s="38"/>
      <c r="C50" s="38"/>
      <c r="D50" s="38"/>
      <c r="E50" s="38"/>
      <c r="F50" s="38"/>
      <c r="G50" s="22">
        <f>I46</f>
        <v>2</v>
      </c>
      <c r="H50" s="11" t="str">
        <f>IF(G50&lt;=I50,"£","&gt;")</f>
        <v>£</v>
      </c>
      <c r="I50" s="22">
        <f>I48</f>
        <v>2.7777777777777777</v>
      </c>
      <c r="J50" s="6"/>
      <c r="K50" s="6"/>
      <c r="L50" s="6"/>
      <c r="N50" s="5"/>
      <c r="O50" s="5"/>
    </row>
    <row r="51" spans="1:15" x14ac:dyDescent="0.3">
      <c r="A51" s="38"/>
      <c r="B51" s="38"/>
      <c r="C51" s="38"/>
      <c r="D51" s="38"/>
      <c r="E51" s="38"/>
      <c r="F51" s="38"/>
      <c r="G51" s="38"/>
      <c r="H51" s="7" t="str">
        <f>IF(H50=H49,"(OK)","(Ganti Profil)")</f>
        <v>(OK)</v>
      </c>
      <c r="I51" s="6"/>
      <c r="J51" s="6"/>
      <c r="K51" s="6"/>
      <c r="L51" s="6"/>
      <c r="N51" s="5"/>
      <c r="O51" s="5"/>
    </row>
    <row r="52" spans="1:15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N52" s="5"/>
      <c r="O52" s="5"/>
    </row>
    <row r="53" spans="1:15" ht="15.6" customHeight="1" x14ac:dyDescent="0.3">
      <c r="A53" s="7" t="str" cm="1">
        <f t="array" aca="1" ref="A53" ca="1">IF(AND(EXACT(M53,"SUBBAB"),SUBTOTAL(103,OFFSET(M53,0,0))),CHAR(64+SUMPRODUCT((EXACT(M$4:M53,"SUBBAB"))*SUBTOTAL(103,OFFSET(M$4,ROW(M$4:M53)-ROW(M$4),0)))),"")</f>
        <v/>
      </c>
      <c r="B53" s="7">
        <f>IF(N53="ANAK",_xlfn.AGGREGATE(2,5,$B$44:B48)+1,"")</f>
        <v>2</v>
      </c>
      <c r="C53" s="42" t="s">
        <v>123</v>
      </c>
      <c r="D53" s="42"/>
      <c r="E53" s="42"/>
      <c r="F53" s="42"/>
      <c r="G53" s="42"/>
      <c r="H53" s="42"/>
      <c r="I53" s="38" t="s">
        <v>124</v>
      </c>
      <c r="J53" s="38"/>
      <c r="K53" s="38"/>
      <c r="L53" s="38"/>
      <c r="N53" s="5" t="s">
        <v>47</v>
      </c>
      <c r="O53" s="5"/>
    </row>
    <row r="54" spans="1:15" ht="15.6" customHeight="1" x14ac:dyDescent="0.3">
      <c r="A54" s="38"/>
      <c r="B54" s="38"/>
      <c r="C54" s="42" t="s">
        <v>125</v>
      </c>
      <c r="D54" s="42"/>
      <c r="E54" s="42"/>
      <c r="F54" s="42"/>
      <c r="G54" s="42"/>
      <c r="H54" s="42"/>
      <c r="I54" s="6" t="s">
        <v>126</v>
      </c>
      <c r="J54" s="6"/>
      <c r="K54" s="6"/>
      <c r="L54" s="6"/>
      <c r="N54" s="5"/>
      <c r="O54" s="5"/>
    </row>
    <row r="55" spans="1:15" x14ac:dyDescent="0.3">
      <c r="A55" s="38"/>
      <c r="B55" s="38"/>
      <c r="C55" s="6" t="s">
        <v>127</v>
      </c>
      <c r="D55" s="6"/>
      <c r="E55" s="6"/>
      <c r="F55" s="6"/>
      <c r="G55" s="5" t="s">
        <v>128</v>
      </c>
      <c r="H55" s="5" t="s">
        <v>50</v>
      </c>
      <c r="I55" s="21">
        <f>IF(I7=0,I6/E31,I7/E31)</f>
        <v>22.722453224981532</v>
      </c>
      <c r="J55" s="6"/>
      <c r="K55" s="6"/>
      <c r="L55" s="6"/>
      <c r="N55" s="5"/>
      <c r="O55" s="5"/>
    </row>
    <row r="56" spans="1:15" x14ac:dyDescent="0.3">
      <c r="A56" s="38"/>
      <c r="B56" s="38"/>
      <c r="C56" s="38"/>
      <c r="D56" s="38"/>
      <c r="E56" s="38"/>
      <c r="F56" s="38"/>
      <c r="G56" s="38"/>
      <c r="H56" s="7" t="str">
        <f>IF(I55&lt;=300,"(OK)","(Ganti Profil)")</f>
        <v>(OK)</v>
      </c>
      <c r="I56" s="6"/>
      <c r="J56" s="6"/>
      <c r="K56" s="6"/>
      <c r="L56" s="6"/>
      <c r="N56" s="5"/>
      <c r="O56" s="5"/>
    </row>
    <row r="57" spans="1:15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N57" s="5"/>
      <c r="O57" s="5"/>
    </row>
    <row r="58" spans="1:15" x14ac:dyDescent="0.3">
      <c r="A58" s="38"/>
      <c r="B58" s="38"/>
      <c r="C58" s="51" t="s">
        <v>129</v>
      </c>
      <c r="D58" s="51"/>
      <c r="E58" s="51"/>
      <c r="F58" s="51"/>
      <c r="G58" s="51"/>
      <c r="H58" s="51"/>
      <c r="I58" s="6"/>
      <c r="J58" s="6"/>
      <c r="K58" s="6"/>
      <c r="L58" s="6"/>
      <c r="N58" s="5"/>
      <c r="O58" s="5"/>
    </row>
    <row r="59" spans="1:15" x14ac:dyDescent="0.3">
      <c r="A59" s="38"/>
      <c r="B59" s="38"/>
      <c r="C59" s="48" t="s">
        <v>130</v>
      </c>
      <c r="D59" s="48" t="s">
        <v>484</v>
      </c>
      <c r="E59" s="49" t="s">
        <v>475</v>
      </c>
      <c r="F59" s="49" t="s">
        <v>483</v>
      </c>
      <c r="G59" s="23" t="s">
        <v>476</v>
      </c>
      <c r="H59" s="5" t="s">
        <v>486</v>
      </c>
      <c r="I59" s="48" t="s">
        <v>132</v>
      </c>
      <c r="N59" s="5"/>
      <c r="O59" s="5"/>
    </row>
    <row r="60" spans="1:15" x14ac:dyDescent="0.3">
      <c r="A60" s="38"/>
      <c r="B60" s="38"/>
      <c r="C60" s="24" t="s">
        <v>133</v>
      </c>
      <c r="D60" s="25">
        <v>0.9</v>
      </c>
      <c r="E60" s="46">
        <f>I225</f>
        <v>547.46018366025521</v>
      </c>
      <c r="F60" s="46">
        <f>IF(E60="Tidak Berlaku","Tidak Berlaku",E60*D60)</f>
        <v>492.7141652942297</v>
      </c>
      <c r="G60" s="25">
        <f>$E$8</f>
        <v>10</v>
      </c>
      <c r="H60" s="26" t="str">
        <f>IF(G60&lt;F60,"OK","CEK")</f>
        <v>OK</v>
      </c>
      <c r="I60" s="26" t="str">
        <f>IF(G60&lt;F60,"Pu &lt; 𝜑Pn","Pu &gt; 𝜑Pn")</f>
        <v>Pu &lt; 𝜑Pn</v>
      </c>
      <c r="N60" s="5"/>
      <c r="O60" s="5"/>
    </row>
    <row r="61" spans="1:15" x14ac:dyDescent="0.3">
      <c r="A61" s="38"/>
      <c r="B61" s="38"/>
      <c r="C61" s="24" t="s">
        <v>134</v>
      </c>
      <c r="D61" s="60">
        <v>0.75</v>
      </c>
      <c r="E61" s="46">
        <f>I227</f>
        <v>875.53629385640829</v>
      </c>
      <c r="F61" s="46">
        <f>IF(E61="Tidak Berlaku","Tidak Berlaku",E61*D61)</f>
        <v>656.65222039230616</v>
      </c>
      <c r="G61" s="25">
        <f>$E$8</f>
        <v>10</v>
      </c>
      <c r="H61" s="26" t="str">
        <f>IF(G61&lt;F61,"OK","CEK")</f>
        <v>OK</v>
      </c>
      <c r="I61" s="26" t="str">
        <f>IF(G61&lt;F61,"Pu &lt; 𝜑Pn","Pu &gt; 𝜑Pn")</f>
        <v>Pu &lt; 𝜑Pn</v>
      </c>
      <c r="N61" s="5"/>
      <c r="O61" s="5"/>
    </row>
    <row r="62" spans="1:15" ht="14.4" customHeight="1" x14ac:dyDescent="0.3">
      <c r="A62" s="38"/>
      <c r="B62" s="38"/>
      <c r="C62" s="24" t="s">
        <v>135</v>
      </c>
      <c r="D62" s="25">
        <v>0.9</v>
      </c>
      <c r="E62" s="46" t="str">
        <f>I231</f>
        <v>Tidak berlaku</v>
      </c>
      <c r="F62" s="46" t="str">
        <f>IF(E62="Tidak Berlaku","Tidak Berlaku",E62*D62)</f>
        <v>Tidak Berlaku</v>
      </c>
      <c r="G62" s="25">
        <f>$E$8</f>
        <v>10</v>
      </c>
      <c r="H62" s="26" t="str">
        <f>IF(G62&lt;F62,"OK","CEK")</f>
        <v>OK</v>
      </c>
      <c r="I62" s="26" t="str">
        <f>IF(G62&lt;F62,"Pu &lt; 𝜑Pn","Pu &gt; 𝜑Pn")</f>
        <v>Pu &lt; 𝜑Pn</v>
      </c>
      <c r="N62" s="5"/>
      <c r="O62" s="5"/>
    </row>
    <row r="63" spans="1:15" ht="14.4" customHeight="1" x14ac:dyDescent="0.3">
      <c r="A63" s="38"/>
      <c r="B63" s="38"/>
      <c r="C63" s="24" t="s">
        <v>136</v>
      </c>
      <c r="D63" s="60">
        <v>0.75</v>
      </c>
      <c r="E63" s="46" t="str">
        <f>I233</f>
        <v>Tidak berlaku</v>
      </c>
      <c r="F63" s="46" t="str">
        <f>IF(E63="Tidak Berlaku","Tidak Berlaku",E63*D63)</f>
        <v>Tidak Berlaku</v>
      </c>
      <c r="G63" s="25">
        <f>$E$8</f>
        <v>10</v>
      </c>
      <c r="H63" s="26" t="str">
        <f>IF(G63&lt;F63,"OK","CEK")</f>
        <v>OK</v>
      </c>
      <c r="I63" s="26" t="str">
        <f>IF(G63&lt;F63,"Pu &lt; 𝜑Pn","Pu &gt; 𝜑Pn")</f>
        <v>Pu &lt; 𝜑Pn</v>
      </c>
      <c r="N63" s="5"/>
      <c r="O63" s="5"/>
    </row>
    <row r="64" spans="1:15" x14ac:dyDescent="0.3">
      <c r="A64" s="38"/>
      <c r="B64" s="38"/>
      <c r="C64" s="38"/>
      <c r="D64" s="38"/>
      <c r="E64" s="38"/>
      <c r="F64" s="38"/>
      <c r="G64" s="38"/>
      <c r="H64" s="38"/>
      <c r="I64" s="38"/>
      <c r="L64" s="38"/>
      <c r="N64" s="5"/>
      <c r="O64" s="5"/>
    </row>
    <row r="65" spans="1:15" x14ac:dyDescent="0.3">
      <c r="A65" s="38"/>
      <c r="B65" s="38"/>
      <c r="C65" s="51" t="s">
        <v>137</v>
      </c>
      <c r="D65" s="51"/>
      <c r="E65" s="51"/>
      <c r="F65" s="5"/>
      <c r="I65" s="18"/>
      <c r="N65" s="5"/>
      <c r="O65" s="5"/>
    </row>
    <row r="66" spans="1:15" x14ac:dyDescent="0.3">
      <c r="A66" s="38"/>
      <c r="B66" s="38"/>
      <c r="C66" s="48" t="s">
        <v>130</v>
      </c>
      <c r="D66" s="48" t="s">
        <v>484</v>
      </c>
      <c r="E66" s="49" t="s">
        <v>475</v>
      </c>
      <c r="F66" s="49" t="s">
        <v>485</v>
      </c>
      <c r="G66" s="23" t="s">
        <v>476</v>
      </c>
      <c r="H66" s="5" t="s">
        <v>486</v>
      </c>
      <c r="I66" s="48" t="s">
        <v>132</v>
      </c>
      <c r="N66" s="5"/>
      <c r="O66" s="5"/>
    </row>
    <row r="67" spans="1:15" x14ac:dyDescent="0.3">
      <c r="A67" s="38"/>
      <c r="B67" s="38"/>
      <c r="C67" s="24" t="s">
        <v>133</v>
      </c>
      <c r="D67" s="25">
        <v>1.67</v>
      </c>
      <c r="E67" s="46">
        <f>E60</f>
        <v>547.46018366025521</v>
      </c>
      <c r="F67" s="46">
        <f>IF(E67="Tidak Berlaku","Tidak Berlaku",E67/D67)</f>
        <v>327.82046925763785</v>
      </c>
      <c r="G67" s="25">
        <f>$E$8</f>
        <v>10</v>
      </c>
      <c r="H67" s="26" t="str">
        <f>IF(G67&lt;F67,"OK","CEK")</f>
        <v>OK</v>
      </c>
      <c r="I67" s="26" t="str">
        <f>IF(G67&lt;F67,"Pu &lt; Pn/𝜑","Pu &gt; Pn/𝜑")</f>
        <v>Pu &lt; Pn/𝜑</v>
      </c>
      <c r="N67" s="5"/>
      <c r="O67" s="5"/>
    </row>
    <row r="68" spans="1:15" x14ac:dyDescent="0.3">
      <c r="A68" s="38"/>
      <c r="B68" s="38"/>
      <c r="C68" s="24" t="s">
        <v>134</v>
      </c>
      <c r="D68" s="25">
        <v>2</v>
      </c>
      <c r="E68" s="46">
        <f>E61</f>
        <v>875.53629385640829</v>
      </c>
      <c r="F68" s="46">
        <f>IF(E68="Tidak Berlaku","Tidak Berlaku",E68/D68)</f>
        <v>437.76814692820415</v>
      </c>
      <c r="G68" s="25">
        <f>$E$8</f>
        <v>10</v>
      </c>
      <c r="H68" s="26" t="str">
        <f>IF(G68&lt;F68,"OK","CEK")</f>
        <v>OK</v>
      </c>
      <c r="I68" s="26" t="str">
        <f>IF(G68&lt;F68,"Pu &lt; Pn/𝜑","Pu &gt; Pn/𝜑")</f>
        <v>Pu &lt; Pn/𝜑</v>
      </c>
      <c r="N68" s="5"/>
      <c r="O68" s="5"/>
    </row>
    <row r="69" spans="1:15" ht="14.4" customHeight="1" x14ac:dyDescent="0.3">
      <c r="A69" s="38"/>
      <c r="B69" s="38"/>
      <c r="C69" s="24" t="s">
        <v>135</v>
      </c>
      <c r="D69" s="25">
        <v>1.67</v>
      </c>
      <c r="E69" s="46" t="str">
        <f>E62</f>
        <v>Tidak berlaku</v>
      </c>
      <c r="F69" s="46" t="str">
        <f>IF(E69="Tidak Berlaku","Tidak Berlaku",E69/D69)</f>
        <v>Tidak Berlaku</v>
      </c>
      <c r="G69" s="25">
        <f>$E$8</f>
        <v>10</v>
      </c>
      <c r="H69" s="26" t="str">
        <f>IF(G69&lt;F69,"OK","CEK")</f>
        <v>OK</v>
      </c>
      <c r="I69" s="26" t="str">
        <f>IF(G69&lt;F69,"Pu &lt; Pn/𝜑","Pu &gt; Pn/𝜑")</f>
        <v>Pu &lt; Pn/𝜑</v>
      </c>
      <c r="N69" s="5"/>
      <c r="O69" s="5"/>
    </row>
    <row r="70" spans="1:15" ht="14.4" customHeight="1" x14ac:dyDescent="0.3">
      <c r="A70" s="38"/>
      <c r="B70" s="38"/>
      <c r="C70" s="24" t="s">
        <v>136</v>
      </c>
      <c r="D70" s="25">
        <v>2</v>
      </c>
      <c r="E70" s="46" t="str">
        <f>E63</f>
        <v>Tidak berlaku</v>
      </c>
      <c r="F70" s="46" t="str">
        <f>IF(E70="Tidak Berlaku","Tidak Berlaku",E70/D70)</f>
        <v>Tidak Berlaku</v>
      </c>
      <c r="G70" s="25">
        <f>$E$8</f>
        <v>10</v>
      </c>
      <c r="H70" s="26" t="str">
        <f>IF(G70&lt;F70,"OK","CEK")</f>
        <v>OK</v>
      </c>
      <c r="I70" s="26" t="str">
        <f>IF(G70&lt;F70,"Pu &lt; Pn/𝜑","Pu &gt; Pn/𝜑")</f>
        <v>Pu &lt; Pn/𝜑</v>
      </c>
      <c r="N70" s="5"/>
      <c r="O70" s="5"/>
    </row>
    <row r="71" spans="1:15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N71" s="5"/>
      <c r="O71" s="5"/>
    </row>
    <row r="72" spans="1:15" ht="15.6" customHeight="1" x14ac:dyDescent="0.3">
      <c r="A72" s="7" t="str" cm="1">
        <f t="array" aca="1" ref="A72" ca="1">IF(AND(EXACT(M72,"SUBBAB"),SUBTOTAL(103,OFFSET(M72,0,0))),CHAR(64+SUMPRODUCT((EXACT(M$4:M72,"SUBBAB"))*SUBTOTAL(103,OFFSET(M$4,ROW(M$4:M72)-ROW(M$4),0)))),"")</f>
        <v/>
      </c>
      <c r="B72" s="7">
        <f>IF(N72="ANAK",_xlfn.AGGREGATE(2,5,$B$44:B67)+1,"")</f>
        <v>3</v>
      </c>
      <c r="C72" s="42" t="s">
        <v>138</v>
      </c>
      <c r="D72" s="42"/>
      <c r="E72" s="42"/>
      <c r="F72" s="42"/>
      <c r="G72" s="42"/>
      <c r="H72" s="42"/>
      <c r="I72" s="38" t="s">
        <v>139</v>
      </c>
      <c r="J72" s="38"/>
      <c r="K72" s="38"/>
      <c r="L72" s="38"/>
      <c r="N72" s="5" t="s">
        <v>47</v>
      </c>
      <c r="O72" s="5"/>
    </row>
    <row r="73" spans="1:15" ht="15.6" customHeight="1" x14ac:dyDescent="0.3">
      <c r="A73" s="38"/>
      <c r="B73" s="38"/>
      <c r="C73" s="42" t="s">
        <v>125</v>
      </c>
      <c r="D73" s="42"/>
      <c r="E73" s="42"/>
      <c r="F73" s="42"/>
      <c r="G73" s="42"/>
      <c r="H73" s="42"/>
      <c r="I73" s="6" t="s">
        <v>140</v>
      </c>
      <c r="J73" s="6"/>
      <c r="K73" s="6"/>
      <c r="L73" s="6"/>
    </row>
    <row r="74" spans="1:15" x14ac:dyDescent="0.3">
      <c r="A74" s="38"/>
      <c r="B74" s="38"/>
      <c r="C74" s="6" t="s">
        <v>141</v>
      </c>
      <c r="D74" s="6"/>
      <c r="E74" s="6"/>
      <c r="F74" s="6"/>
      <c r="G74" s="5" t="s">
        <v>142</v>
      </c>
      <c r="H74" s="5" t="s">
        <v>50</v>
      </c>
      <c r="I74" s="21">
        <f>IF(I7=0,I6/E31,I7/E31)</f>
        <v>22.722453224981532</v>
      </c>
      <c r="J74" s="6"/>
      <c r="K74" s="6"/>
      <c r="L74" s="6"/>
    </row>
    <row r="75" spans="1:15" x14ac:dyDescent="0.3">
      <c r="A75" s="38"/>
      <c r="B75" s="38"/>
      <c r="C75" s="38"/>
      <c r="D75" s="38"/>
      <c r="E75" s="38"/>
      <c r="F75" s="38"/>
      <c r="G75" s="38"/>
      <c r="H75" s="7" t="str">
        <f>IF(I74&lt;=200,"OK","Ganti Profil/Tambahkan Elemen Langsing")</f>
        <v>OK</v>
      </c>
      <c r="I75" s="6"/>
      <c r="J75" s="6"/>
      <c r="K75" s="6"/>
      <c r="L75" s="6"/>
    </row>
    <row r="76" spans="1:15" x14ac:dyDescent="0.3">
      <c r="A76" s="38" t="str" cm="1">
        <f t="array" aca="1" ref="A76" ca="1">IF(AND(EXACT(M76,"SUBBAB"),SUBTOTAL(103,OFFSET(M76,0,0))),CHAR(64+SUMPRODUCT((EXACT(M$4:M76,"SUBBAB"))*SUBTOTAL(103,OFFSET(M$4,ROW(M$4:M76)-ROW(M$4),0)))),"")</f>
        <v/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1:15" ht="15.6" customHeight="1" x14ac:dyDescent="0.3">
      <c r="A77" s="38"/>
      <c r="B77" s="38"/>
      <c r="C77" s="42" t="s">
        <v>143</v>
      </c>
      <c r="D77" s="42"/>
      <c r="E77" s="42"/>
      <c r="F77" s="42"/>
      <c r="G77" s="42"/>
      <c r="H77" s="42"/>
      <c r="I77" s="6" t="s">
        <v>144</v>
      </c>
      <c r="J77" s="6"/>
      <c r="K77" s="6"/>
      <c r="L77" s="6"/>
    </row>
    <row r="78" spans="1:15" x14ac:dyDescent="0.3">
      <c r="A78" s="38"/>
      <c r="B78" s="38"/>
      <c r="C78" s="27" t="s">
        <v>145</v>
      </c>
      <c r="D78" s="27"/>
      <c r="E78" s="27"/>
      <c r="F78" s="27"/>
      <c r="G78" s="5" t="s">
        <v>146</v>
      </c>
      <c r="H78" s="5" t="s">
        <v>50</v>
      </c>
      <c r="I78" s="5" t="s">
        <v>147</v>
      </c>
      <c r="J78" s="6"/>
      <c r="K78" s="6"/>
      <c r="L78" s="6"/>
    </row>
    <row r="79" spans="1:15" x14ac:dyDescent="0.3">
      <c r="A79" s="38"/>
      <c r="B79" s="38"/>
      <c r="C79" s="38"/>
      <c r="D79" s="38"/>
      <c r="E79" s="38"/>
      <c r="F79" s="38"/>
      <c r="G79" s="38"/>
      <c r="H79" s="5" t="s">
        <v>50</v>
      </c>
      <c r="I79" s="21">
        <f>0.5*E22/E24</f>
        <v>6.25</v>
      </c>
      <c r="J79" s="6"/>
      <c r="K79" s="6"/>
      <c r="L79" s="6"/>
    </row>
    <row r="80" spans="1:15" x14ac:dyDescent="0.3">
      <c r="A80" s="38"/>
      <c r="B80" s="38"/>
      <c r="C80" s="27" t="s">
        <v>148</v>
      </c>
      <c r="D80" s="27"/>
      <c r="E80" s="27"/>
      <c r="F80" s="27"/>
      <c r="G80" s="5" t="s">
        <v>149</v>
      </c>
      <c r="H80" s="5" t="s">
        <v>50</v>
      </c>
      <c r="I80" s="21" t="s">
        <v>150</v>
      </c>
      <c r="J80" s="6"/>
      <c r="K80" s="6"/>
      <c r="L80" s="6"/>
    </row>
    <row r="81" spans="1:12" x14ac:dyDescent="0.3">
      <c r="A81" s="38"/>
      <c r="B81" s="38"/>
      <c r="C81" s="38"/>
      <c r="D81" s="38"/>
      <c r="E81" s="38"/>
      <c r="F81" s="38"/>
      <c r="G81" s="38"/>
      <c r="H81" s="5" t="s">
        <v>50</v>
      </c>
      <c r="I81" s="21">
        <f>0.56*SQRT(E38/E15)</f>
        <v>15.839191898578667</v>
      </c>
      <c r="J81" s="6"/>
      <c r="K81" s="6"/>
      <c r="L81" s="6"/>
    </row>
    <row r="82" spans="1:12" x14ac:dyDescent="0.3">
      <c r="A82" s="38"/>
      <c r="B82" s="38"/>
      <c r="C82" s="6" t="s">
        <v>130</v>
      </c>
      <c r="D82" s="6"/>
      <c r="E82" s="5" t="s">
        <v>50</v>
      </c>
      <c r="F82" s="6" t="str" cm="1">
        <f t="array" ref="F82">_xlfn.IFNA(_xlfn.IFS(I79&lt;I81,"λf &lt; λr",I79&gt;I81,"λf &gt; λr"),"Salah Bos")</f>
        <v>λf &lt; λr</v>
      </c>
      <c r="G82" s="6"/>
      <c r="H82" s="6"/>
      <c r="I82" s="6"/>
      <c r="J82" s="6"/>
      <c r="K82" s="6"/>
      <c r="L82" s="6"/>
    </row>
    <row r="83" spans="1:12" x14ac:dyDescent="0.3">
      <c r="A83" s="38"/>
      <c r="B83" s="38"/>
      <c r="C83" s="38"/>
      <c r="D83" s="38"/>
      <c r="E83" s="5" t="s">
        <v>50</v>
      </c>
      <c r="F83" s="6" t="str" cm="1">
        <f t="array" ref="F83">_xlfn.IFNA(_xlfn.IFS(I79&lt;I81,"Penampang Tak Langsing",I79&gt;I81,"Penampang Langsing"),"Salah Bos")</f>
        <v>Penampang Tak Langsing</v>
      </c>
      <c r="G83" s="6"/>
      <c r="H83" s="6"/>
      <c r="I83" s="6"/>
      <c r="J83" s="6"/>
      <c r="K83" s="6"/>
      <c r="L83" s="6"/>
    </row>
    <row r="84" spans="1:12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1:12" ht="15.6" customHeight="1" x14ac:dyDescent="0.3">
      <c r="A85" s="38"/>
      <c r="B85" s="38"/>
      <c r="C85" s="42" t="s">
        <v>151</v>
      </c>
      <c r="D85" s="42"/>
      <c r="E85" s="42"/>
      <c r="F85" s="42"/>
      <c r="G85" s="42"/>
      <c r="H85" s="42"/>
      <c r="I85" s="6" t="s">
        <v>144</v>
      </c>
      <c r="J85" s="6"/>
      <c r="K85" s="6"/>
      <c r="L85" s="6"/>
    </row>
    <row r="86" spans="1:12" x14ac:dyDescent="0.3">
      <c r="A86" s="38"/>
      <c r="B86" s="38"/>
      <c r="C86" s="27" t="s">
        <v>145</v>
      </c>
      <c r="D86" s="27"/>
      <c r="E86" s="27"/>
      <c r="F86" s="27"/>
      <c r="G86" s="5" t="s">
        <v>152</v>
      </c>
      <c r="H86" s="5" t="s">
        <v>50</v>
      </c>
      <c r="I86" s="21" t="s">
        <v>153</v>
      </c>
      <c r="J86" s="6"/>
      <c r="K86" s="6"/>
      <c r="L86" s="6"/>
    </row>
    <row r="87" spans="1:12" x14ac:dyDescent="0.3">
      <c r="A87" s="38"/>
      <c r="B87" s="38"/>
      <c r="C87" s="38"/>
      <c r="D87" s="38"/>
      <c r="E87" s="38"/>
      <c r="F87" s="38"/>
      <c r="G87" s="38"/>
      <c r="H87" s="5" t="s">
        <v>50</v>
      </c>
      <c r="I87" s="21">
        <f>E21/E23</f>
        <v>16.666666666666668</v>
      </c>
      <c r="J87" s="6"/>
      <c r="K87" s="6"/>
      <c r="L87" s="6"/>
    </row>
    <row r="88" spans="1:12" x14ac:dyDescent="0.3">
      <c r="A88" s="38"/>
      <c r="B88" s="38"/>
      <c r="C88" s="27" t="s">
        <v>148</v>
      </c>
      <c r="D88" s="27"/>
      <c r="E88" s="27"/>
      <c r="F88" s="27"/>
      <c r="G88" s="5" t="s">
        <v>149</v>
      </c>
      <c r="H88" s="5" t="s">
        <v>50</v>
      </c>
      <c r="I88" s="21" t="s">
        <v>154</v>
      </c>
      <c r="J88" s="6"/>
      <c r="K88" s="6"/>
      <c r="L88" s="6"/>
    </row>
    <row r="89" spans="1:12" x14ac:dyDescent="0.3">
      <c r="A89" s="38"/>
      <c r="B89" s="38"/>
      <c r="C89" s="38"/>
      <c r="D89" s="38"/>
      <c r="E89" s="38"/>
      <c r="F89" s="38"/>
      <c r="G89" s="38"/>
      <c r="H89" s="5" t="s">
        <v>50</v>
      </c>
      <c r="I89" s="21">
        <f>1.49*SQRT(E38/E15)</f>
        <v>42.143564158718235</v>
      </c>
      <c r="J89" s="6"/>
      <c r="K89" s="6"/>
      <c r="L89" s="6"/>
    </row>
    <row r="90" spans="1:12" x14ac:dyDescent="0.3">
      <c r="A90" s="38"/>
      <c r="B90" s="38"/>
      <c r="C90" s="6" t="s">
        <v>130</v>
      </c>
      <c r="D90" s="6"/>
      <c r="E90" s="5" t="s">
        <v>50</v>
      </c>
      <c r="F90" s="6" t="str" cm="1">
        <f t="array" ref="F90">_xlfn.IFNA(_xlfn.IFS(I87&lt;I89,"λb &lt; λr",I87&gt;I89,"λb &gt; λr"),"Salah Bos")</f>
        <v>λb &lt; λr</v>
      </c>
      <c r="G90" s="6"/>
      <c r="H90" s="6"/>
      <c r="I90" s="6"/>
      <c r="J90" s="6"/>
      <c r="K90" s="6"/>
      <c r="L90" s="6"/>
    </row>
    <row r="91" spans="1:12" x14ac:dyDescent="0.3">
      <c r="A91" s="38"/>
      <c r="B91" s="38"/>
      <c r="C91" s="38"/>
      <c r="D91" s="38"/>
      <c r="E91" s="5" t="s">
        <v>50</v>
      </c>
      <c r="F91" s="6" t="str" cm="1">
        <f t="array" ref="F91">_xlfn.IFNA(_xlfn.IFS(I87&lt;I89,"Penampang Tak Langsing",I87&gt;I89,"Penampang Langsing"),"Salah Bos")</f>
        <v>Penampang Tak Langsing</v>
      </c>
      <c r="G91" s="6"/>
      <c r="H91" s="6"/>
      <c r="I91" s="6"/>
      <c r="J91" s="6"/>
      <c r="K91" s="6"/>
      <c r="L91" s="6"/>
    </row>
    <row r="92" spans="1:12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spans="1:12" x14ac:dyDescent="0.3">
      <c r="A93" s="38"/>
      <c r="B93" s="38"/>
      <c r="C93" s="51" t="s">
        <v>129</v>
      </c>
      <c r="D93" s="51"/>
      <c r="E93" s="51"/>
      <c r="F93" s="51"/>
      <c r="G93" s="51"/>
      <c r="H93" s="51"/>
      <c r="I93" s="6"/>
      <c r="J93" s="6"/>
      <c r="K93" s="6"/>
      <c r="L93" s="6"/>
    </row>
    <row r="94" spans="1:12" x14ac:dyDescent="0.3">
      <c r="A94" s="38"/>
      <c r="B94" s="38"/>
      <c r="C94" s="48" t="s">
        <v>130</v>
      </c>
      <c r="D94" s="48" t="s">
        <v>488</v>
      </c>
      <c r="E94" s="49" t="s">
        <v>475</v>
      </c>
      <c r="F94" s="48" t="s">
        <v>490</v>
      </c>
      <c r="G94" s="23" t="s">
        <v>476</v>
      </c>
      <c r="H94" s="5" t="s">
        <v>486</v>
      </c>
      <c r="I94" s="48" t="s">
        <v>132</v>
      </c>
    </row>
    <row r="95" spans="1:12" x14ac:dyDescent="0.3">
      <c r="A95" s="38"/>
      <c r="B95" s="38"/>
      <c r="C95" s="24" t="s">
        <v>155</v>
      </c>
      <c r="D95" s="25">
        <v>0.9</v>
      </c>
      <c r="E95" s="46">
        <f>I263</f>
        <v>532.67961060954349</v>
      </c>
      <c r="F95" s="46">
        <f>IF(E95="Tidak Berlaku","Tidak Berlaku",E95*D95)</f>
        <v>479.41164954858914</v>
      </c>
      <c r="G95" s="25">
        <f>$E$9</f>
        <v>10</v>
      </c>
      <c r="H95" s="26" t="str">
        <f>IF(G95&lt;F95,"OK","CEK")</f>
        <v>OK</v>
      </c>
      <c r="I95" s="26" t="str">
        <f>IF(G95&lt;F95,"Pu &lt; 𝜑Pn","Pu &gt; 𝜑Pn")</f>
        <v>Pu &lt; 𝜑Pn</v>
      </c>
    </row>
    <row r="96" spans="1:12" x14ac:dyDescent="0.3">
      <c r="A96" s="38"/>
      <c r="B96" s="38"/>
      <c r="C96" s="24" t="s">
        <v>156</v>
      </c>
      <c r="D96" s="25">
        <v>0.9</v>
      </c>
      <c r="E96" s="46">
        <f>I265</f>
        <v>2892.4776504170272</v>
      </c>
      <c r="F96" s="46">
        <f>IF(E96="Tidak Berlaku","Tidak Berlaku",E96*D96)</f>
        <v>2603.2298853753246</v>
      </c>
      <c r="G96" s="25">
        <f>$E$9</f>
        <v>10</v>
      </c>
      <c r="H96" s="26" t="str">
        <f>IF(G96&lt;F96,"OK","CEK")</f>
        <v>OK</v>
      </c>
      <c r="I96" s="26" t="str">
        <f>IF(G96&lt;F96,"Pu &lt; 𝜑Pn","Pu &gt; 𝜑Pn")</f>
        <v>Pu &lt; 𝜑Pn</v>
      </c>
    </row>
    <row r="97" spans="1:15" x14ac:dyDescent="0.3">
      <c r="A97" s="38"/>
      <c r="B97" s="38"/>
      <c r="C97" s="24" t="s">
        <v>155</v>
      </c>
      <c r="D97" s="25">
        <v>0.9</v>
      </c>
      <c r="E97" s="46" t="str">
        <f>I269</f>
        <v>Tidak berlaku</v>
      </c>
      <c r="F97" s="46" t="str">
        <f>IF(E97="Tidak Berlaku","Tidak Berlaku",E97*D97)</f>
        <v>Tidak Berlaku</v>
      </c>
      <c r="G97" s="25">
        <f>$E$9</f>
        <v>10</v>
      </c>
      <c r="H97" s="26" t="str">
        <f>IF(G97&lt;F97,"OK","CEK")</f>
        <v>OK</v>
      </c>
      <c r="I97" s="26" t="str">
        <f>IF(G97&lt;F97,"Pu &lt; 𝜑Pn","Pu &gt; 𝜑Pn")</f>
        <v>Pu &lt; 𝜑Pn</v>
      </c>
    </row>
    <row r="98" spans="1:15" ht="14.4" customHeight="1" x14ac:dyDescent="0.3">
      <c r="A98" s="38"/>
      <c r="B98" s="38"/>
      <c r="C98" s="24" t="s">
        <v>156</v>
      </c>
      <c r="D98" s="25">
        <v>0.9</v>
      </c>
      <c r="E98" s="46" t="str">
        <f>I271</f>
        <v>Tidak berlaku</v>
      </c>
      <c r="F98" s="46" t="str">
        <f>IF(E98="Tidak Berlaku","Tidak Berlaku",E98*D98)</f>
        <v>Tidak Berlaku</v>
      </c>
      <c r="G98" s="25">
        <f>$E$9</f>
        <v>10</v>
      </c>
      <c r="H98" s="26" t="str">
        <f>IF(G98&lt;F98,"OK","CEK")</f>
        <v>OK</v>
      </c>
      <c r="I98" s="26" t="str">
        <f>IF(G98&lt;F98,"Pu &lt; 𝜑Pn","Pu &gt; 𝜑Pn")</f>
        <v>Pu &lt; 𝜑Pn</v>
      </c>
    </row>
    <row r="99" spans="1:15" ht="14.4" customHeight="1" x14ac:dyDescent="0.3">
      <c r="A99" s="38"/>
      <c r="B99" s="38"/>
      <c r="C99" s="24" t="s">
        <v>157</v>
      </c>
      <c r="D99" s="25">
        <v>0.9</v>
      </c>
      <c r="E99" s="46" t="str">
        <f>I273</f>
        <v>Tidak berlaku</v>
      </c>
      <c r="F99" s="46" t="str">
        <f>IF(E99="Tidak Berlaku","Tidak Berlaku",E99*D99)</f>
        <v>Tidak Berlaku</v>
      </c>
      <c r="G99" s="25">
        <f>$E$9</f>
        <v>10</v>
      </c>
      <c r="H99" s="26" t="str">
        <f>IF(G99&lt;F99,"OK","CEK")</f>
        <v>OK</v>
      </c>
      <c r="I99" s="26" t="str">
        <f>IF(G99&lt;F99,"Pu &lt; 𝜑Pn","Pu &gt; 𝜑Pn")</f>
        <v>Pu &lt; 𝜑Pn</v>
      </c>
    </row>
    <row r="100" spans="1:15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L100" s="38"/>
    </row>
    <row r="101" spans="1:15" x14ac:dyDescent="0.3">
      <c r="A101" s="38"/>
      <c r="B101" s="38"/>
      <c r="C101" s="51" t="s">
        <v>137</v>
      </c>
      <c r="D101" s="51"/>
      <c r="E101" s="51"/>
      <c r="F101" s="51"/>
      <c r="G101" s="6"/>
      <c r="H101" s="6"/>
      <c r="I101" s="6"/>
      <c r="L101" s="6"/>
    </row>
    <row r="102" spans="1:15" x14ac:dyDescent="0.3">
      <c r="A102" s="38"/>
      <c r="B102" s="38"/>
      <c r="C102" s="48" t="s">
        <v>130</v>
      </c>
      <c r="D102" s="48" t="s">
        <v>488</v>
      </c>
      <c r="E102" s="49" t="s">
        <v>475</v>
      </c>
      <c r="F102" s="49" t="s">
        <v>489</v>
      </c>
      <c r="G102" s="23" t="s">
        <v>476</v>
      </c>
      <c r="H102" s="5" t="s">
        <v>486</v>
      </c>
      <c r="I102" s="48" t="s">
        <v>132</v>
      </c>
    </row>
    <row r="103" spans="1:15" x14ac:dyDescent="0.3">
      <c r="A103" s="38"/>
      <c r="B103" s="38"/>
      <c r="C103" s="24" t="s">
        <v>155</v>
      </c>
      <c r="D103" s="25">
        <v>1.67</v>
      </c>
      <c r="E103" s="46">
        <f>E95</f>
        <v>532.67961060954349</v>
      </c>
      <c r="F103" s="46">
        <f>IF(E103="Tidak Berlaku","Tidak Berlaku",E103/D103)</f>
        <v>318.96982671230148</v>
      </c>
      <c r="G103" s="25">
        <f>$E$9</f>
        <v>10</v>
      </c>
      <c r="H103" s="26" t="str">
        <f>IF(G103&lt;F103,"OK","CEK")</f>
        <v>OK</v>
      </c>
      <c r="I103" s="26" t="str">
        <f>IF(G103&lt;F103,"Pu &lt; Pn/𝜑","Pu &gt; Pn/𝜑")</f>
        <v>Pu &lt; Pn/𝜑</v>
      </c>
    </row>
    <row r="104" spans="1:15" x14ac:dyDescent="0.3">
      <c r="A104" s="38"/>
      <c r="B104" s="38"/>
      <c r="C104" s="24" t="s">
        <v>156</v>
      </c>
      <c r="D104" s="25">
        <v>1.67</v>
      </c>
      <c r="E104" s="46">
        <f>E96</f>
        <v>2892.4776504170272</v>
      </c>
      <c r="F104" s="46">
        <f>IF(E104="Tidak Berlaku","Tidak Berlaku",E104/D104)</f>
        <v>1732.0225451598967</v>
      </c>
      <c r="G104" s="25">
        <f>$E$9</f>
        <v>10</v>
      </c>
      <c r="H104" s="26" t="str">
        <f>IF(G104&lt;F104,"OK","CEK")</f>
        <v>OK</v>
      </c>
      <c r="I104" s="26" t="str">
        <f>IF(G104&lt;F104,"Pu &lt; Pn/𝜑","Pu &gt; Pn/𝜑")</f>
        <v>Pu &lt; Pn/𝜑</v>
      </c>
    </row>
    <row r="105" spans="1:15" x14ac:dyDescent="0.3">
      <c r="A105" s="38"/>
      <c r="B105" s="38"/>
      <c r="C105" s="24" t="s">
        <v>155</v>
      </c>
      <c r="D105" s="25">
        <v>1.67</v>
      </c>
      <c r="E105" s="46" t="str">
        <f>E97</f>
        <v>Tidak berlaku</v>
      </c>
      <c r="F105" s="46" t="str">
        <f>IF(E105="Tidak Berlaku","Tidak Berlaku",E105/D105)</f>
        <v>Tidak Berlaku</v>
      </c>
      <c r="G105" s="25">
        <f>$E$9</f>
        <v>10</v>
      </c>
      <c r="H105" s="26" t="str">
        <f>IF(G105&lt;F105,"OK","CEK")</f>
        <v>OK</v>
      </c>
      <c r="I105" s="26" t="str">
        <f>IF(G105&lt;F105,"Pu &lt; Pn/𝜑","Pu &gt; Pn/𝜑")</f>
        <v>Pu &lt; Pn/𝜑</v>
      </c>
    </row>
    <row r="106" spans="1:15" ht="14.4" customHeight="1" x14ac:dyDescent="0.3">
      <c r="A106" s="38"/>
      <c r="B106" s="38"/>
      <c r="C106" s="24" t="s">
        <v>156</v>
      </c>
      <c r="D106" s="25">
        <v>1.67</v>
      </c>
      <c r="E106" s="46" t="str">
        <f>E98</f>
        <v>Tidak berlaku</v>
      </c>
      <c r="F106" s="46" t="str">
        <f>IF(E106="Tidak Berlaku","Tidak Berlaku",E106/D106)</f>
        <v>Tidak Berlaku</v>
      </c>
      <c r="G106" s="25">
        <f>$E$9</f>
        <v>10</v>
      </c>
      <c r="H106" s="26" t="str">
        <f>IF(G106&lt;F106,"OK","CEK")</f>
        <v>OK</v>
      </c>
      <c r="I106" s="26" t="str">
        <f>IF(G106&lt;F106,"Pu &lt; Pn/𝜑","Pu &gt; Pn/𝜑")</f>
        <v>Pu &lt; Pn/𝜑</v>
      </c>
    </row>
    <row r="107" spans="1:15" ht="14.4" customHeight="1" x14ac:dyDescent="0.3">
      <c r="A107" s="38"/>
      <c r="B107" s="38"/>
      <c r="C107" s="24" t="s">
        <v>157</v>
      </c>
      <c r="D107" s="25">
        <v>1.67</v>
      </c>
      <c r="E107" s="46" t="str">
        <f>E99</f>
        <v>Tidak berlaku</v>
      </c>
      <c r="F107" s="46" t="str">
        <f>IF(E107="Tidak Berlaku","Tidak Berlaku",E107/D107)</f>
        <v>Tidak Berlaku</v>
      </c>
      <c r="G107" s="25">
        <f>$E$9</f>
        <v>10</v>
      </c>
      <c r="H107" s="26" t="str">
        <f>IF(G107&lt;F107,"OK","CEK")</f>
        <v>OK</v>
      </c>
      <c r="I107" s="26" t="str">
        <f>IF(G107&lt;F107,"Pu &lt; Pn/𝜑","Pu &gt; Pn/𝜑")</f>
        <v>Pu &lt; Pn/𝜑</v>
      </c>
    </row>
    <row r="108" spans="1:15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1:15" ht="15.6" customHeight="1" x14ac:dyDescent="0.3">
      <c r="A109" s="7" t="str" cm="1">
        <f t="array" aca="1" ref="A109" ca="1">IF(AND(EXACT(M109,"SUBBAB"),SUBTOTAL(103,OFFSET(M109,0,0))),CHAR(64+SUMPRODUCT((EXACT(M$4:M109,"SUBBAB"))*SUBTOTAL(103,OFFSET(M$4,ROW(M$4:M109)-ROW(M$4),0)))),"")</f>
        <v/>
      </c>
      <c r="B109" s="7">
        <f>IF(N109="ANAK",_xlfn.AGGREGATE(2,5,$B$44:B104)+1,"")</f>
        <v>4</v>
      </c>
      <c r="C109" s="42" t="s">
        <v>158</v>
      </c>
      <c r="D109" s="42"/>
      <c r="E109" s="42"/>
      <c r="F109" s="42"/>
      <c r="G109" s="42"/>
      <c r="H109" s="42"/>
      <c r="I109" s="38" t="s">
        <v>159</v>
      </c>
      <c r="J109" s="38"/>
      <c r="K109" s="38"/>
      <c r="L109" s="38"/>
      <c r="N109" s="5" t="s">
        <v>47</v>
      </c>
      <c r="O109" s="5"/>
    </row>
    <row r="110" spans="1:15" ht="15.6" customHeight="1" x14ac:dyDescent="0.3">
      <c r="A110" s="38"/>
      <c r="B110" s="38"/>
      <c r="C110" s="42" t="s">
        <v>143</v>
      </c>
      <c r="D110" s="42"/>
      <c r="E110" s="42"/>
      <c r="F110" s="42"/>
      <c r="G110" s="42"/>
      <c r="H110" s="42"/>
      <c r="I110" s="6" t="s">
        <v>160</v>
      </c>
      <c r="J110" s="6"/>
      <c r="K110" s="6"/>
      <c r="L110" s="6"/>
    </row>
    <row r="111" spans="1:15" x14ac:dyDescent="0.3">
      <c r="A111" s="38"/>
      <c r="B111" s="38"/>
      <c r="C111" s="27" t="s">
        <v>145</v>
      </c>
      <c r="D111" s="27"/>
      <c r="E111" s="27"/>
      <c r="F111" s="27"/>
      <c r="G111" s="5" t="s">
        <v>146</v>
      </c>
      <c r="H111" s="5" t="s">
        <v>50</v>
      </c>
      <c r="I111" s="5" t="s">
        <v>147</v>
      </c>
      <c r="J111" s="6"/>
      <c r="K111" s="6"/>
      <c r="L111" s="6"/>
    </row>
    <row r="112" spans="1:15" x14ac:dyDescent="0.3">
      <c r="A112" s="38"/>
      <c r="B112" s="38"/>
      <c r="C112" s="38"/>
      <c r="D112" s="38"/>
      <c r="E112" s="38"/>
      <c r="F112" s="38"/>
      <c r="G112" s="38"/>
      <c r="H112" s="5" t="s">
        <v>50</v>
      </c>
      <c r="I112" s="21">
        <f>0.5*E22/E24</f>
        <v>6.25</v>
      </c>
      <c r="J112" s="6"/>
      <c r="K112" s="6"/>
      <c r="L112" s="6"/>
    </row>
    <row r="113" spans="1:12" x14ac:dyDescent="0.3">
      <c r="A113" s="38"/>
      <c r="B113" s="38"/>
      <c r="C113" s="27" t="s">
        <v>161</v>
      </c>
      <c r="D113" s="27"/>
      <c r="E113" s="27"/>
      <c r="F113" s="27"/>
      <c r="G113" s="5" t="s">
        <v>162</v>
      </c>
      <c r="H113" s="5" t="s">
        <v>50</v>
      </c>
      <c r="I113" s="21" t="s">
        <v>163</v>
      </c>
      <c r="J113" s="6"/>
      <c r="K113" s="6"/>
      <c r="L113" s="6"/>
    </row>
    <row r="114" spans="1:12" x14ac:dyDescent="0.3">
      <c r="A114" s="38"/>
      <c r="B114" s="38"/>
      <c r="C114" s="38"/>
      <c r="D114" s="38"/>
      <c r="E114" s="38"/>
      <c r="F114" s="38"/>
      <c r="G114" s="38"/>
      <c r="H114" s="5" t="s">
        <v>50</v>
      </c>
      <c r="I114" s="21">
        <f>0.38*SQRT(E38/E15)</f>
        <v>10.748023074035522</v>
      </c>
      <c r="J114" s="6"/>
      <c r="K114" s="6"/>
      <c r="L114" s="6"/>
    </row>
    <row r="115" spans="1:12" x14ac:dyDescent="0.3">
      <c r="A115" s="38"/>
      <c r="B115" s="38"/>
      <c r="C115" s="27" t="s">
        <v>164</v>
      </c>
      <c r="D115" s="27"/>
      <c r="E115" s="27"/>
      <c r="F115" s="27"/>
      <c r="G115" s="5" t="s">
        <v>149</v>
      </c>
      <c r="H115" s="5" t="s">
        <v>50</v>
      </c>
      <c r="I115" s="21" t="s">
        <v>165</v>
      </c>
      <c r="J115" s="6"/>
      <c r="K115" s="6"/>
      <c r="L115" s="6"/>
    </row>
    <row r="116" spans="1:12" x14ac:dyDescent="0.3">
      <c r="A116" s="38"/>
      <c r="B116" s="38"/>
      <c r="C116" s="38"/>
      <c r="D116" s="38"/>
      <c r="E116" s="38"/>
      <c r="F116" s="38"/>
      <c r="G116" s="38"/>
      <c r="H116" s="5" t="s">
        <v>50</v>
      </c>
      <c r="I116" s="21">
        <f>1*SQRT(E38/E15)</f>
        <v>28.284271247461902</v>
      </c>
      <c r="J116" s="6"/>
      <c r="K116" s="6"/>
      <c r="L116" s="6"/>
    </row>
    <row r="117" spans="1:12" x14ac:dyDescent="0.3">
      <c r="A117" s="38"/>
      <c r="B117" s="38"/>
      <c r="C117" s="6" t="s">
        <v>130</v>
      </c>
      <c r="D117" s="6"/>
      <c r="E117" s="5" t="s">
        <v>50</v>
      </c>
      <c r="F117" s="6" t="str" cm="1">
        <f t="array" ref="F117">_xlfn.IFNA(_xlfn.IFS(I112&lt;I114,"λf &lt; λp",I112&lt;I116,"λp &lt; λf &lt; λr",I112&gt;I116,"λf &gt; λr"),"Salah Bos")</f>
        <v>λf &lt; λp</v>
      </c>
      <c r="G117" s="6"/>
      <c r="H117" s="6"/>
      <c r="I117" s="6"/>
      <c r="J117" s="6"/>
      <c r="K117" s="6"/>
      <c r="L117" s="6"/>
    </row>
    <row r="118" spans="1:12" x14ac:dyDescent="0.3">
      <c r="A118" s="38" t="str" cm="1">
        <f t="array" aca="1" ref="A118" ca="1">IF(AND(EXACT(M118,"SUBBAB"),SUBTOTAL(103,OFFSET(M118,0,0))),CHAR(64+SUMPRODUCT((EXACT(M$4:M118,"SUBBAB"))*SUBTOTAL(103,OFFSET(M$4,ROW(M$4:M118)-ROW(M$4),0)))),"")</f>
        <v/>
      </c>
      <c r="B118" s="38"/>
      <c r="C118" s="38"/>
      <c r="D118" s="38"/>
      <c r="E118" s="5" t="s">
        <v>50</v>
      </c>
      <c r="F118" s="6" t="str" cm="1">
        <f t="array" ref="F118">_xlfn.IFNA(_xlfn.IFS(I112&lt;I114,"Penampang Kompak",I112&lt;I116,"Penampang Tak Kompak",I112&gt;I116,"Penampang Langsing"),"Salah Bos")</f>
        <v>Penampang Kompak</v>
      </c>
      <c r="G118" s="6"/>
      <c r="H118" s="6"/>
      <c r="I118" s="6"/>
      <c r="J118" s="6"/>
      <c r="K118" s="6"/>
      <c r="L118" s="6"/>
    </row>
    <row r="119" spans="1:12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</row>
    <row r="120" spans="1:12" ht="15.6" customHeight="1" x14ac:dyDescent="0.3">
      <c r="A120" s="38"/>
      <c r="B120" s="38"/>
      <c r="C120" s="42" t="s">
        <v>151</v>
      </c>
      <c r="D120" s="42"/>
      <c r="E120" s="42"/>
      <c r="F120" s="42"/>
      <c r="G120" s="42"/>
      <c r="H120" s="42"/>
      <c r="I120" s="6" t="s">
        <v>160</v>
      </c>
      <c r="J120" s="6"/>
      <c r="K120" s="6"/>
      <c r="L120" s="6"/>
    </row>
    <row r="121" spans="1:12" x14ac:dyDescent="0.3">
      <c r="A121" s="38"/>
      <c r="B121" s="38"/>
      <c r="C121" s="27" t="s">
        <v>145</v>
      </c>
      <c r="D121" s="27"/>
      <c r="E121" s="27"/>
      <c r="F121" s="27"/>
      <c r="G121" s="5" t="s">
        <v>152</v>
      </c>
      <c r="H121" s="5" t="s">
        <v>50</v>
      </c>
      <c r="I121" s="21" t="s">
        <v>153</v>
      </c>
      <c r="J121" s="6"/>
      <c r="K121" s="6"/>
      <c r="L121" s="6"/>
    </row>
    <row r="122" spans="1:12" x14ac:dyDescent="0.3">
      <c r="A122" s="38"/>
      <c r="B122" s="38"/>
      <c r="C122" s="38"/>
      <c r="D122" s="38"/>
      <c r="E122" s="38"/>
      <c r="F122" s="38"/>
      <c r="G122" s="38"/>
      <c r="H122" s="5" t="s">
        <v>50</v>
      </c>
      <c r="I122" s="21">
        <f>E21/E23</f>
        <v>16.666666666666668</v>
      </c>
      <c r="J122" s="6"/>
      <c r="K122" s="6"/>
      <c r="L122" s="6"/>
    </row>
    <row r="123" spans="1:12" x14ac:dyDescent="0.3">
      <c r="A123" s="38"/>
      <c r="B123" s="38"/>
      <c r="C123" s="27" t="s">
        <v>161</v>
      </c>
      <c r="D123" s="27"/>
      <c r="E123" s="27"/>
      <c r="F123" s="27"/>
      <c r="G123" s="5" t="s">
        <v>162</v>
      </c>
      <c r="H123" s="5" t="s">
        <v>50</v>
      </c>
      <c r="I123" s="21" t="s">
        <v>166</v>
      </c>
      <c r="J123" s="6"/>
      <c r="K123" s="6"/>
      <c r="L123" s="6"/>
    </row>
    <row r="124" spans="1:12" x14ac:dyDescent="0.3">
      <c r="A124" s="38"/>
      <c r="B124" s="38"/>
      <c r="C124" s="38"/>
      <c r="D124" s="38"/>
      <c r="E124" s="38"/>
      <c r="F124" s="38"/>
      <c r="G124" s="38"/>
      <c r="H124" s="5" t="s">
        <v>50</v>
      </c>
      <c r="I124" s="21">
        <f>3.76*SQRT(E38/E15)</f>
        <v>106.34885989045675</v>
      </c>
      <c r="J124" s="6"/>
      <c r="K124" s="6"/>
      <c r="L124" s="6"/>
    </row>
    <row r="125" spans="1:12" x14ac:dyDescent="0.3">
      <c r="A125" s="38"/>
      <c r="B125" s="38"/>
      <c r="C125" s="27" t="s">
        <v>164</v>
      </c>
      <c r="D125" s="27"/>
      <c r="E125" s="27"/>
      <c r="F125" s="27"/>
      <c r="G125" s="5" t="s">
        <v>149</v>
      </c>
      <c r="H125" s="5" t="s">
        <v>50</v>
      </c>
      <c r="I125" s="21" t="s">
        <v>167</v>
      </c>
      <c r="J125" s="6"/>
      <c r="K125" s="6"/>
      <c r="L125" s="6"/>
    </row>
    <row r="126" spans="1:12" x14ac:dyDescent="0.3">
      <c r="A126" s="38"/>
      <c r="B126" s="38"/>
      <c r="C126" s="38"/>
      <c r="D126" s="38"/>
      <c r="E126" s="38"/>
      <c r="F126" s="38"/>
      <c r="G126" s="38"/>
      <c r="H126" s="5" t="s">
        <v>50</v>
      </c>
      <c r="I126" s="21">
        <f>5.7*SQRT(E38/E15)</f>
        <v>161.22034611053286</v>
      </c>
      <c r="J126" s="6"/>
      <c r="K126" s="6"/>
      <c r="L126" s="6"/>
    </row>
    <row r="127" spans="1:12" x14ac:dyDescent="0.3">
      <c r="A127" s="38"/>
      <c r="B127" s="38"/>
      <c r="C127" s="6" t="s">
        <v>130</v>
      </c>
      <c r="D127" s="6"/>
      <c r="E127" s="5" t="s">
        <v>50</v>
      </c>
      <c r="F127" s="6" t="str" cm="1">
        <f t="array" ref="F127">_xlfn.IFNA(_xlfn.IFS(I122&lt;I124,"λf &lt; λp",I122&lt;I126,"λp &lt; λf &lt; λr",I122&gt;I126,"λf &gt; λr"),"Salah Bos")</f>
        <v>λf &lt; λp</v>
      </c>
      <c r="G127" s="6"/>
      <c r="H127" s="6"/>
      <c r="I127" s="6"/>
      <c r="J127" s="6"/>
      <c r="K127" s="6"/>
      <c r="L127" s="6"/>
    </row>
    <row r="128" spans="1:12" x14ac:dyDescent="0.3">
      <c r="A128" s="38" t="str" cm="1">
        <f t="array" aca="1" ref="A128" ca="1">IF(AND(EXACT(M128,"SUBBAB"),SUBTOTAL(103,OFFSET(M128,0,0))),CHAR(64+SUMPRODUCT((EXACT(M$4:M128,"SUBBAB"))*SUBTOTAL(103,OFFSET(M$4,ROW(M$4:M128)-ROW(M$4),0)))),"")</f>
        <v/>
      </c>
      <c r="B128" s="38"/>
      <c r="C128" s="38"/>
      <c r="D128" s="38"/>
      <c r="E128" s="5" t="s">
        <v>50</v>
      </c>
      <c r="F128" s="6" t="str" cm="1">
        <f t="array" ref="F128">_xlfn.IFNA(_xlfn.IFS(I122&lt;I124,"Penampang Kompak",I122&lt;I126,"Penampang Tak Kompak",I122&gt;I126,"Penampang Langsing"),"Salah Bos")</f>
        <v>Penampang Kompak</v>
      </c>
      <c r="G128" s="6"/>
      <c r="H128" s="6"/>
      <c r="I128" s="6"/>
      <c r="J128" s="6"/>
      <c r="K128" s="6"/>
      <c r="L128" s="6"/>
    </row>
    <row r="129" spans="1:12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2" x14ac:dyDescent="0.3">
      <c r="A130" s="38"/>
      <c r="B130" s="38"/>
      <c r="C130" s="51" t="s">
        <v>168</v>
      </c>
      <c r="D130" s="51"/>
      <c r="E130" s="51"/>
      <c r="F130" s="51"/>
      <c r="G130" s="51"/>
      <c r="H130" s="51"/>
      <c r="I130" s="6"/>
      <c r="J130" s="6"/>
      <c r="K130" s="6"/>
      <c r="L130" s="6"/>
    </row>
    <row r="131" spans="1:12" x14ac:dyDescent="0.3">
      <c r="A131" s="38"/>
      <c r="B131" s="38"/>
      <c r="C131" s="48" t="s">
        <v>130</v>
      </c>
      <c r="D131" s="48" t="s">
        <v>491</v>
      </c>
      <c r="E131" s="49" t="s">
        <v>477</v>
      </c>
      <c r="F131" s="48" t="s">
        <v>492</v>
      </c>
      <c r="G131" s="23" t="s">
        <v>478</v>
      </c>
      <c r="H131" s="5" t="s">
        <v>486</v>
      </c>
      <c r="I131" s="48" t="s">
        <v>132</v>
      </c>
    </row>
    <row r="132" spans="1:12" x14ac:dyDescent="0.3">
      <c r="A132" s="38"/>
      <c r="B132" s="38"/>
      <c r="C132" s="24" t="s">
        <v>170</v>
      </c>
      <c r="D132" s="25">
        <v>0.9</v>
      </c>
      <c r="E132" s="46">
        <f>I325</f>
        <v>18.399999999999999</v>
      </c>
      <c r="F132" s="46">
        <f t="shared" ref="F132:F143" si="1">IF(E132="Tidak Berlaku","Tidak Berlaku",E132*D132)</f>
        <v>16.559999999999999</v>
      </c>
      <c r="G132" s="25">
        <f t="shared" ref="G132:G143" si="2">$E$10</f>
        <v>100</v>
      </c>
      <c r="H132" s="26" t="str">
        <f t="shared" ref="H132:H143" si="3">IF(G132&lt;F132,"OK","CEK")</f>
        <v>CEK</v>
      </c>
      <c r="I132" s="26" t="str">
        <f>IF(G132&lt;F132,"Mu &lt; 𝜑Mn","Mu &gt; 𝜑Mn")</f>
        <v>Mu &gt; 𝜑Mn</v>
      </c>
    </row>
    <row r="133" spans="1:12" x14ac:dyDescent="0.3">
      <c r="A133" s="38"/>
      <c r="B133" s="38"/>
      <c r="C133" s="24" t="s">
        <v>171</v>
      </c>
      <c r="D133" s="25">
        <v>0.9</v>
      </c>
      <c r="E133" s="46" t="str">
        <f>I332</f>
        <v>Tidak berlaku</v>
      </c>
      <c r="F133" s="46" t="str">
        <f t="shared" si="1"/>
        <v>Tidak Berlaku</v>
      </c>
      <c r="G133" s="25">
        <f t="shared" si="2"/>
        <v>100</v>
      </c>
      <c r="H133" s="26" t="str">
        <f t="shared" si="3"/>
        <v>OK</v>
      </c>
      <c r="I133" s="26" t="str">
        <f t="shared" ref="I133:I143" si="4">IF(G133&lt;F133,"Mu &lt; 𝜑Mn","Mu &gt; 𝜑Mn")</f>
        <v>Mu &lt; 𝜑Mn</v>
      </c>
    </row>
    <row r="134" spans="1:12" ht="14.4" customHeight="1" x14ac:dyDescent="0.3">
      <c r="A134" s="38"/>
      <c r="B134" s="38"/>
      <c r="C134" s="24" t="s">
        <v>171</v>
      </c>
      <c r="D134" s="25">
        <v>0.9</v>
      </c>
      <c r="E134" s="46" t="str">
        <f>I339</f>
        <v>Tidak berlaku</v>
      </c>
      <c r="F134" s="46" t="str">
        <f t="shared" si="1"/>
        <v>Tidak Berlaku</v>
      </c>
      <c r="G134" s="25">
        <f t="shared" si="2"/>
        <v>100</v>
      </c>
      <c r="H134" s="26" t="str">
        <f t="shared" si="3"/>
        <v>OK</v>
      </c>
      <c r="I134" s="26" t="str">
        <f t="shared" si="4"/>
        <v>Mu &lt; 𝜑Mn</v>
      </c>
    </row>
    <row r="135" spans="1:12" ht="14.4" customHeight="1" x14ac:dyDescent="0.3">
      <c r="A135" s="38"/>
      <c r="B135" s="38"/>
      <c r="C135" s="24" t="s">
        <v>172</v>
      </c>
      <c r="D135" s="25">
        <v>0.9</v>
      </c>
      <c r="E135" s="46" t="str">
        <f>I344</f>
        <v>Tidak berlaku</v>
      </c>
      <c r="F135" s="46" t="str">
        <f t="shared" si="1"/>
        <v>Tidak Berlaku</v>
      </c>
      <c r="G135" s="25">
        <f t="shared" si="2"/>
        <v>100</v>
      </c>
      <c r="H135" s="26" t="str">
        <f t="shared" si="3"/>
        <v>OK</v>
      </c>
      <c r="I135" s="26" t="str">
        <f t="shared" si="4"/>
        <v>Mu &lt; 𝜑Mn</v>
      </c>
    </row>
    <row r="136" spans="1:12" x14ac:dyDescent="0.3">
      <c r="A136" s="38"/>
      <c r="B136" s="38"/>
      <c r="C136" s="24" t="s">
        <v>173</v>
      </c>
      <c r="D136" s="25">
        <v>0.9</v>
      </c>
      <c r="E136" s="46">
        <f>I348</f>
        <v>16.117055096033756</v>
      </c>
      <c r="F136" s="46">
        <f t="shared" si="1"/>
        <v>14.505349586430381</v>
      </c>
      <c r="G136" s="25">
        <f t="shared" si="2"/>
        <v>100</v>
      </c>
      <c r="H136" s="26" t="str">
        <f t="shared" si="3"/>
        <v>CEK</v>
      </c>
      <c r="I136" s="26" t="str">
        <f t="shared" si="4"/>
        <v>Mu &gt; 𝜑Mn</v>
      </c>
    </row>
    <row r="137" spans="1:12" x14ac:dyDescent="0.3">
      <c r="A137" s="38"/>
      <c r="B137" s="38"/>
      <c r="C137" s="24" t="s">
        <v>171</v>
      </c>
      <c r="D137" s="25">
        <v>0.9</v>
      </c>
      <c r="E137" s="46">
        <f>I355</f>
        <v>16.081352769458075</v>
      </c>
      <c r="F137" s="46">
        <f t="shared" si="1"/>
        <v>14.473217492512267</v>
      </c>
      <c r="G137" s="25">
        <f t="shared" si="2"/>
        <v>100</v>
      </c>
      <c r="H137" s="26" t="str">
        <f t="shared" si="3"/>
        <v>CEK</v>
      </c>
      <c r="I137" s="26" t="str">
        <f t="shared" si="4"/>
        <v>Mu &gt; 𝜑Mn</v>
      </c>
    </row>
    <row r="138" spans="1:12" ht="14.4" customHeight="1" x14ac:dyDescent="0.3">
      <c r="A138" s="38"/>
      <c r="B138" s="38"/>
      <c r="C138" s="24" t="s">
        <v>172</v>
      </c>
      <c r="D138" s="25">
        <v>0.9</v>
      </c>
      <c r="E138" s="46" t="str">
        <f>I360</f>
        <v>Tidak berlaku</v>
      </c>
      <c r="F138" s="46" t="str">
        <f t="shared" si="1"/>
        <v>Tidak Berlaku</v>
      </c>
      <c r="G138" s="25">
        <f t="shared" si="2"/>
        <v>100</v>
      </c>
      <c r="H138" s="26" t="str">
        <f t="shared" si="3"/>
        <v>OK</v>
      </c>
      <c r="I138" s="26" t="str">
        <f t="shared" si="4"/>
        <v>Mu &lt; 𝜑Mn</v>
      </c>
    </row>
    <row r="139" spans="1:12" x14ac:dyDescent="0.3">
      <c r="A139" s="38"/>
      <c r="B139" s="38"/>
      <c r="C139" s="24" t="s">
        <v>174</v>
      </c>
      <c r="D139" s="25">
        <v>0.9</v>
      </c>
      <c r="E139" s="46">
        <f>I364</f>
        <v>21.206651442149678</v>
      </c>
      <c r="F139" s="46">
        <f t="shared" si="1"/>
        <v>19.08598629793471</v>
      </c>
      <c r="G139" s="25">
        <f t="shared" si="2"/>
        <v>100</v>
      </c>
      <c r="H139" s="26" t="str">
        <f t="shared" si="3"/>
        <v>CEK</v>
      </c>
      <c r="I139" s="26" t="str">
        <f t="shared" si="4"/>
        <v>Mu &gt; 𝜑Mn</v>
      </c>
    </row>
    <row r="140" spans="1:12" ht="14.4" customHeight="1" x14ac:dyDescent="0.3">
      <c r="A140" s="38"/>
      <c r="B140" s="38"/>
      <c r="C140" s="24" t="s">
        <v>173</v>
      </c>
      <c r="D140" s="25">
        <v>0.9</v>
      </c>
      <c r="E140" s="47" t="str">
        <f>I368</f>
        <v>Tidak berlaku</v>
      </c>
      <c r="F140" s="46" t="str">
        <f t="shared" si="1"/>
        <v>Tidak Berlaku</v>
      </c>
      <c r="G140" s="25">
        <f t="shared" si="2"/>
        <v>100</v>
      </c>
      <c r="H140" s="26" t="str">
        <f t="shared" si="3"/>
        <v>OK</v>
      </c>
      <c r="I140" s="26" t="str">
        <f t="shared" si="4"/>
        <v>Mu &lt; 𝜑Mn</v>
      </c>
    </row>
    <row r="141" spans="1:12" ht="14.4" customHeight="1" x14ac:dyDescent="0.3">
      <c r="A141" s="38"/>
      <c r="B141" s="38"/>
      <c r="C141" s="24" t="s">
        <v>171</v>
      </c>
      <c r="D141" s="25">
        <v>0.9</v>
      </c>
      <c r="E141" s="47" t="str">
        <f>I375</f>
        <v>Tidak berlaku</v>
      </c>
      <c r="F141" s="46" t="str">
        <f t="shared" si="1"/>
        <v>Tidak Berlaku</v>
      </c>
      <c r="G141" s="25">
        <f t="shared" si="2"/>
        <v>100</v>
      </c>
      <c r="H141" s="26" t="str">
        <f t="shared" si="3"/>
        <v>OK</v>
      </c>
      <c r="I141" s="26" t="str">
        <f t="shared" si="4"/>
        <v>Mu &lt; 𝜑Mn</v>
      </c>
    </row>
    <row r="142" spans="1:12" ht="14.4" customHeight="1" x14ac:dyDescent="0.3">
      <c r="A142" s="38"/>
      <c r="B142" s="38"/>
      <c r="C142" s="24" t="s">
        <v>172</v>
      </c>
      <c r="D142" s="25">
        <v>0.9</v>
      </c>
      <c r="E142" s="47" t="str">
        <f>I382</f>
        <v>Tidak berlaku</v>
      </c>
      <c r="F142" s="46" t="str">
        <f t="shared" si="1"/>
        <v>Tidak Berlaku</v>
      </c>
      <c r="G142" s="25">
        <f t="shared" si="2"/>
        <v>100</v>
      </c>
      <c r="H142" s="26" t="str">
        <f t="shared" si="3"/>
        <v>OK</v>
      </c>
      <c r="I142" s="26" t="str">
        <f t="shared" si="4"/>
        <v>Mu &lt; 𝜑Mn</v>
      </c>
    </row>
    <row r="143" spans="1:12" ht="14.4" customHeight="1" x14ac:dyDescent="0.3">
      <c r="A143" s="38"/>
      <c r="B143" s="38"/>
      <c r="C143" s="24" t="s">
        <v>174</v>
      </c>
      <c r="D143" s="25">
        <v>0.9</v>
      </c>
      <c r="E143" s="47" t="str">
        <f>I386</f>
        <v>Tidak berlaku</v>
      </c>
      <c r="F143" s="46" t="str">
        <f t="shared" si="1"/>
        <v>Tidak Berlaku</v>
      </c>
      <c r="G143" s="25">
        <f t="shared" si="2"/>
        <v>100</v>
      </c>
      <c r="H143" s="26" t="str">
        <f t="shared" si="3"/>
        <v>OK</v>
      </c>
      <c r="I143" s="26" t="str">
        <f t="shared" si="4"/>
        <v>Mu &lt; 𝜑Mn</v>
      </c>
    </row>
    <row r="144" spans="1:12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L144" s="38"/>
    </row>
    <row r="145" spans="1:12" x14ac:dyDescent="0.3">
      <c r="A145" s="38"/>
      <c r="B145" s="38"/>
      <c r="C145" s="51" t="s">
        <v>175</v>
      </c>
      <c r="D145" s="51"/>
      <c r="E145" s="51"/>
      <c r="F145" s="51"/>
      <c r="G145" s="51"/>
      <c r="H145" s="51"/>
      <c r="I145" s="6"/>
      <c r="J145" s="6"/>
      <c r="L145" s="6"/>
    </row>
    <row r="146" spans="1:12" x14ac:dyDescent="0.3">
      <c r="A146" s="38"/>
      <c r="B146" s="38"/>
      <c r="C146" s="48" t="s">
        <v>130</v>
      </c>
      <c r="D146" s="48" t="s">
        <v>491</v>
      </c>
      <c r="E146" s="49" t="s">
        <v>477</v>
      </c>
      <c r="F146" s="49" t="s">
        <v>493</v>
      </c>
      <c r="G146" s="23" t="s">
        <v>478</v>
      </c>
      <c r="H146" s="5" t="s">
        <v>486</v>
      </c>
      <c r="I146" s="48" t="s">
        <v>132</v>
      </c>
    </row>
    <row r="147" spans="1:12" x14ac:dyDescent="0.3">
      <c r="A147" s="38"/>
      <c r="B147" s="38"/>
      <c r="C147" s="24" t="s">
        <v>170</v>
      </c>
      <c r="D147" s="25">
        <v>1.67</v>
      </c>
      <c r="E147" s="46">
        <f t="shared" ref="E147:E158" si="5">E132</f>
        <v>18.399999999999999</v>
      </c>
      <c r="F147" s="46">
        <f t="shared" ref="F147:F158" si="6">IF(E147="Tidak Berlaku","Tidak Berlaku",E147/D147)</f>
        <v>11.017964071856287</v>
      </c>
      <c r="G147" s="25">
        <f t="shared" ref="G147:G158" si="7">$E$10</f>
        <v>100</v>
      </c>
      <c r="H147" s="26" t="str">
        <f t="shared" ref="H147:H158" si="8">IF(G147&lt;F147,"OK","CEK")</f>
        <v>CEK</v>
      </c>
      <c r="I147" s="26" t="str">
        <f>IF(G147&lt;F147,"Mu &lt; Mn/𝜑","Mu &gt; Mn/𝜑")</f>
        <v>Mu &gt; Mn/𝜑</v>
      </c>
    </row>
    <row r="148" spans="1:12" x14ac:dyDescent="0.3">
      <c r="A148" s="38"/>
      <c r="B148" s="38"/>
      <c r="C148" s="24" t="s">
        <v>171</v>
      </c>
      <c r="D148" s="25">
        <v>1.67</v>
      </c>
      <c r="E148" s="46" t="str">
        <f t="shared" si="5"/>
        <v>Tidak berlaku</v>
      </c>
      <c r="F148" s="46" t="str">
        <f t="shared" si="6"/>
        <v>Tidak Berlaku</v>
      </c>
      <c r="G148" s="25">
        <f t="shared" si="7"/>
        <v>100</v>
      </c>
      <c r="H148" s="26" t="str">
        <f t="shared" si="8"/>
        <v>OK</v>
      </c>
      <c r="I148" s="26" t="str">
        <f>IF(G148&lt;F148,"Mu &lt; Mn/𝜑","Mu &gt; Mn/𝜑")</f>
        <v>Mu &lt; Mn/𝜑</v>
      </c>
    </row>
    <row r="149" spans="1:12" ht="14.4" customHeight="1" x14ac:dyDescent="0.3">
      <c r="A149" s="38"/>
      <c r="B149" s="38"/>
      <c r="C149" s="24" t="s">
        <v>171</v>
      </c>
      <c r="D149" s="25">
        <v>1.67</v>
      </c>
      <c r="E149" s="46" t="str">
        <f t="shared" si="5"/>
        <v>Tidak berlaku</v>
      </c>
      <c r="F149" s="46" t="str">
        <f t="shared" si="6"/>
        <v>Tidak Berlaku</v>
      </c>
      <c r="G149" s="25">
        <f t="shared" si="7"/>
        <v>100</v>
      </c>
      <c r="H149" s="26" t="str">
        <f t="shared" si="8"/>
        <v>OK</v>
      </c>
      <c r="I149" s="26" t="str">
        <f t="shared" ref="I149:I158" si="9">IF(G149&lt;F149,"Mu &lt; Mn/𝜑","Mu &gt; Mn/𝜑")</f>
        <v>Mu &lt; Mn/𝜑</v>
      </c>
    </row>
    <row r="150" spans="1:12" ht="14.4" customHeight="1" x14ac:dyDescent="0.3">
      <c r="A150" s="38"/>
      <c r="B150" s="38"/>
      <c r="C150" s="24" t="s">
        <v>172</v>
      </c>
      <c r="D150" s="25">
        <v>1.67</v>
      </c>
      <c r="E150" s="46" t="str">
        <f t="shared" si="5"/>
        <v>Tidak berlaku</v>
      </c>
      <c r="F150" s="46" t="str">
        <f t="shared" si="6"/>
        <v>Tidak Berlaku</v>
      </c>
      <c r="G150" s="25">
        <f t="shared" si="7"/>
        <v>100</v>
      </c>
      <c r="H150" s="26" t="str">
        <f t="shared" si="8"/>
        <v>OK</v>
      </c>
      <c r="I150" s="26" t="str">
        <f t="shared" si="9"/>
        <v>Mu &lt; Mn/𝜑</v>
      </c>
    </row>
    <row r="151" spans="1:12" x14ac:dyDescent="0.3">
      <c r="A151" s="38"/>
      <c r="B151" s="38"/>
      <c r="C151" s="24" t="s">
        <v>173</v>
      </c>
      <c r="D151" s="25">
        <v>1.67</v>
      </c>
      <c r="E151" s="46">
        <f t="shared" si="5"/>
        <v>16.117055096033756</v>
      </c>
      <c r="F151" s="46">
        <f t="shared" si="6"/>
        <v>9.6509311952297949</v>
      </c>
      <c r="G151" s="25">
        <f t="shared" si="7"/>
        <v>100</v>
      </c>
      <c r="H151" s="26" t="str">
        <f t="shared" si="8"/>
        <v>CEK</v>
      </c>
      <c r="I151" s="26" t="str">
        <f t="shared" si="9"/>
        <v>Mu &gt; Mn/𝜑</v>
      </c>
    </row>
    <row r="152" spans="1:12" x14ac:dyDescent="0.3">
      <c r="A152" s="38"/>
      <c r="B152" s="38"/>
      <c r="C152" s="24" t="s">
        <v>171</v>
      </c>
      <c r="D152" s="25">
        <v>1.67</v>
      </c>
      <c r="E152" s="46">
        <f t="shared" si="5"/>
        <v>16.081352769458075</v>
      </c>
      <c r="F152" s="46">
        <f t="shared" si="6"/>
        <v>9.6295525565617215</v>
      </c>
      <c r="G152" s="25">
        <f t="shared" si="7"/>
        <v>100</v>
      </c>
      <c r="H152" s="26" t="str">
        <f t="shared" si="8"/>
        <v>CEK</v>
      </c>
      <c r="I152" s="26" t="str">
        <f t="shared" si="9"/>
        <v>Mu &gt; Mn/𝜑</v>
      </c>
    </row>
    <row r="153" spans="1:12" ht="14.4" customHeight="1" x14ac:dyDescent="0.3">
      <c r="A153" s="38"/>
      <c r="B153" s="38"/>
      <c r="C153" s="24" t="s">
        <v>172</v>
      </c>
      <c r="D153" s="25">
        <v>1.67</v>
      </c>
      <c r="E153" s="46" t="str">
        <f t="shared" si="5"/>
        <v>Tidak berlaku</v>
      </c>
      <c r="F153" s="46" t="str">
        <f t="shared" si="6"/>
        <v>Tidak Berlaku</v>
      </c>
      <c r="G153" s="25">
        <f t="shared" si="7"/>
        <v>100</v>
      </c>
      <c r="H153" s="26" t="str">
        <f t="shared" si="8"/>
        <v>OK</v>
      </c>
      <c r="I153" s="26" t="str">
        <f t="shared" si="9"/>
        <v>Mu &lt; Mn/𝜑</v>
      </c>
    </row>
    <row r="154" spans="1:12" x14ac:dyDescent="0.3">
      <c r="A154" s="38"/>
      <c r="B154" s="38"/>
      <c r="C154" s="24" t="s">
        <v>174</v>
      </c>
      <c r="D154" s="25">
        <v>1.67</v>
      </c>
      <c r="E154" s="46">
        <f t="shared" si="5"/>
        <v>21.206651442149678</v>
      </c>
      <c r="F154" s="46">
        <f t="shared" si="6"/>
        <v>12.698593677933939</v>
      </c>
      <c r="G154" s="25">
        <f t="shared" si="7"/>
        <v>100</v>
      </c>
      <c r="H154" s="26" t="str">
        <f t="shared" si="8"/>
        <v>CEK</v>
      </c>
      <c r="I154" s="26" t="str">
        <f t="shared" si="9"/>
        <v>Mu &gt; Mn/𝜑</v>
      </c>
    </row>
    <row r="155" spans="1:12" ht="14.4" customHeight="1" x14ac:dyDescent="0.3">
      <c r="A155" s="38"/>
      <c r="B155" s="38"/>
      <c r="C155" s="24" t="s">
        <v>173</v>
      </c>
      <c r="D155" s="25">
        <v>1.67</v>
      </c>
      <c r="E155" s="46" t="str">
        <f t="shared" si="5"/>
        <v>Tidak berlaku</v>
      </c>
      <c r="F155" s="46" t="str">
        <f t="shared" si="6"/>
        <v>Tidak Berlaku</v>
      </c>
      <c r="G155" s="25">
        <f t="shared" si="7"/>
        <v>100</v>
      </c>
      <c r="H155" s="26" t="str">
        <f t="shared" si="8"/>
        <v>OK</v>
      </c>
      <c r="I155" s="26" t="str">
        <f t="shared" si="9"/>
        <v>Mu &lt; Mn/𝜑</v>
      </c>
    </row>
    <row r="156" spans="1:12" ht="14.4" customHeight="1" x14ac:dyDescent="0.3">
      <c r="A156" s="38"/>
      <c r="B156" s="38"/>
      <c r="C156" s="24" t="s">
        <v>171</v>
      </c>
      <c r="D156" s="25">
        <v>1.67</v>
      </c>
      <c r="E156" s="46" t="str">
        <f t="shared" si="5"/>
        <v>Tidak berlaku</v>
      </c>
      <c r="F156" s="46" t="str">
        <f t="shared" si="6"/>
        <v>Tidak Berlaku</v>
      </c>
      <c r="G156" s="25">
        <f t="shared" si="7"/>
        <v>100</v>
      </c>
      <c r="H156" s="26" t="str">
        <f t="shared" si="8"/>
        <v>OK</v>
      </c>
      <c r="I156" s="26" t="str">
        <f t="shared" si="9"/>
        <v>Mu &lt; Mn/𝜑</v>
      </c>
    </row>
    <row r="157" spans="1:12" ht="14.4" customHeight="1" x14ac:dyDescent="0.3">
      <c r="A157" s="38"/>
      <c r="B157" s="38"/>
      <c r="C157" s="24" t="s">
        <v>172</v>
      </c>
      <c r="D157" s="25">
        <v>1.67</v>
      </c>
      <c r="E157" s="46" t="str">
        <f t="shared" si="5"/>
        <v>Tidak berlaku</v>
      </c>
      <c r="F157" s="46" t="str">
        <f t="shared" si="6"/>
        <v>Tidak Berlaku</v>
      </c>
      <c r="G157" s="25">
        <f t="shared" si="7"/>
        <v>100</v>
      </c>
      <c r="H157" s="26" t="str">
        <f t="shared" si="8"/>
        <v>OK</v>
      </c>
      <c r="I157" s="26" t="str">
        <f t="shared" si="9"/>
        <v>Mu &lt; Mn/𝜑</v>
      </c>
    </row>
    <row r="158" spans="1:12" ht="14.4" customHeight="1" x14ac:dyDescent="0.3">
      <c r="A158" s="38"/>
      <c r="B158" s="38"/>
      <c r="C158" s="24" t="s">
        <v>174</v>
      </c>
      <c r="D158" s="25">
        <v>1.67</v>
      </c>
      <c r="E158" s="46" t="str">
        <f t="shared" si="5"/>
        <v>Tidak berlaku</v>
      </c>
      <c r="F158" s="46" t="str">
        <f t="shared" si="6"/>
        <v>Tidak Berlaku</v>
      </c>
      <c r="G158" s="25">
        <f t="shared" si="7"/>
        <v>100</v>
      </c>
      <c r="H158" s="26" t="str">
        <f t="shared" si="8"/>
        <v>OK</v>
      </c>
      <c r="I158" s="26" t="str">
        <f t="shared" si="9"/>
        <v>Mu &lt; Mn/𝜑</v>
      </c>
    </row>
    <row r="159" spans="1:12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spans="1:12" x14ac:dyDescent="0.3">
      <c r="A160" s="38"/>
      <c r="B160" s="38"/>
      <c r="C160" s="51" t="s">
        <v>176</v>
      </c>
      <c r="D160" s="51"/>
      <c r="E160" s="51"/>
      <c r="F160" s="51"/>
      <c r="G160" s="51"/>
      <c r="H160" s="51"/>
      <c r="I160" s="6"/>
      <c r="J160" s="6"/>
      <c r="K160" s="6"/>
      <c r="L160" s="6"/>
    </row>
    <row r="161" spans="1:15" x14ac:dyDescent="0.3">
      <c r="A161" s="38"/>
      <c r="B161" s="38"/>
      <c r="C161" s="48" t="s">
        <v>130</v>
      </c>
      <c r="D161" s="48" t="s">
        <v>491</v>
      </c>
      <c r="E161" s="49" t="s">
        <v>477</v>
      </c>
      <c r="F161" s="48" t="s">
        <v>492</v>
      </c>
      <c r="G161" s="23" t="s">
        <v>478</v>
      </c>
      <c r="H161" s="5" t="s">
        <v>486</v>
      </c>
      <c r="I161" s="48" t="s">
        <v>132</v>
      </c>
    </row>
    <row r="162" spans="1:15" x14ac:dyDescent="0.3">
      <c r="A162" s="38"/>
      <c r="B162" s="38"/>
      <c r="C162" s="24" t="s">
        <v>170</v>
      </c>
      <c r="D162" s="25">
        <v>0.9</v>
      </c>
      <c r="E162" s="46">
        <f>I393</f>
        <v>10.6</v>
      </c>
      <c r="F162" s="46">
        <f>IF(E162="Tidak Berlaku","Tidak Berlaku",E162*D162)</f>
        <v>9.5399999999999991</v>
      </c>
      <c r="G162" s="25">
        <f>$E$11</f>
        <v>100</v>
      </c>
      <c r="H162" s="26" t="str">
        <f>IF(G162&lt;F162,"OK","CEK")</f>
        <v>CEK</v>
      </c>
      <c r="I162" s="26" t="str">
        <f>IF(G162&lt;F162,"Mu &lt; 𝜑Mn","Mu &gt; 𝜑Mn")</f>
        <v>Mu &gt; 𝜑Mn</v>
      </c>
    </row>
    <row r="163" spans="1:15" ht="14.4" customHeight="1" x14ac:dyDescent="0.3">
      <c r="A163" s="38"/>
      <c r="B163" s="38"/>
      <c r="C163" s="24" t="s">
        <v>172</v>
      </c>
      <c r="D163" s="25">
        <v>0.9</v>
      </c>
      <c r="E163" s="46" t="str">
        <f>I400</f>
        <v>Tidak berlaku</v>
      </c>
      <c r="F163" s="46" t="str">
        <f>IF(E163="Tidak Berlaku","Tidak Berlaku",E163*D163)</f>
        <v>Tidak Berlaku</v>
      </c>
      <c r="G163" s="25">
        <f>$E$11</f>
        <v>100</v>
      </c>
      <c r="H163" s="26" t="str">
        <f>IF(G163&lt;F163,"OK","CEK")</f>
        <v>OK</v>
      </c>
      <c r="I163" s="26" t="str">
        <f>IF(G163&lt;F163,"Mu &lt; 𝜑Mn","Mu &gt; 𝜑Mn")</f>
        <v>Mu &lt; 𝜑Mn</v>
      </c>
    </row>
    <row r="164" spans="1:15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L164" s="38"/>
    </row>
    <row r="165" spans="1:15" x14ac:dyDescent="0.3">
      <c r="A165" s="38"/>
      <c r="B165" s="38"/>
      <c r="C165" s="51" t="s">
        <v>177</v>
      </c>
      <c r="D165" s="51"/>
      <c r="E165" s="51"/>
      <c r="F165" s="51"/>
      <c r="G165" s="6"/>
      <c r="H165" s="6"/>
      <c r="I165" s="6"/>
      <c r="L165" s="6"/>
    </row>
    <row r="166" spans="1:15" x14ac:dyDescent="0.3">
      <c r="A166" s="38"/>
      <c r="B166" s="38"/>
      <c r="C166" s="48" t="s">
        <v>130</v>
      </c>
      <c r="D166" s="48" t="s">
        <v>491</v>
      </c>
      <c r="E166" s="49" t="s">
        <v>477</v>
      </c>
      <c r="F166" s="49" t="s">
        <v>493</v>
      </c>
      <c r="G166" s="23" t="s">
        <v>478</v>
      </c>
      <c r="H166" s="5" t="s">
        <v>486</v>
      </c>
      <c r="I166" s="48" t="s">
        <v>132</v>
      </c>
    </row>
    <row r="167" spans="1:15" x14ac:dyDescent="0.3">
      <c r="A167" s="38"/>
      <c r="B167" s="38"/>
      <c r="C167" s="24" t="s">
        <v>170</v>
      </c>
      <c r="D167" s="25">
        <v>1.67</v>
      </c>
      <c r="E167" s="46">
        <f>E162</f>
        <v>10.6</v>
      </c>
      <c r="F167" s="46">
        <f>IF(E167="Tidak Berlaku","Tidak Berlaku",E167/D167)</f>
        <v>6.3473053892215567</v>
      </c>
      <c r="G167" s="25">
        <f>$E$11</f>
        <v>100</v>
      </c>
      <c r="H167" s="26" t="str">
        <f>IF(G167&lt;F167,"OK","CEK")</f>
        <v>CEK</v>
      </c>
      <c r="I167" s="26" t="str">
        <f>IF(G167&lt;F167,"Mu &lt; Mn/𝜑","Mu &gt; Mn/𝜑")</f>
        <v>Mu &gt; Mn/𝜑</v>
      </c>
    </row>
    <row r="168" spans="1:15" ht="14.4" customHeight="1" x14ac:dyDescent="0.3">
      <c r="A168" s="38"/>
      <c r="B168" s="38"/>
      <c r="C168" s="24" t="s">
        <v>172</v>
      </c>
      <c r="D168" s="25">
        <v>1.67</v>
      </c>
      <c r="E168" s="46" t="str">
        <f>E163</f>
        <v>Tidak berlaku</v>
      </c>
      <c r="F168" s="46" t="str">
        <f>IF(E168="Tidak Berlaku","Tidak Berlaku",E168/D168)</f>
        <v>Tidak Berlaku</v>
      </c>
      <c r="G168" s="25">
        <f>$E$11</f>
        <v>100</v>
      </c>
      <c r="H168" s="26" t="str">
        <f>IF(G168&lt;F168,"OK","CEK")</f>
        <v>OK</v>
      </c>
      <c r="I168" s="26" t="str">
        <f>IF(G168&lt;F168,"Mu &lt; Mn/𝜑","Mu &gt; Mn/𝜑")</f>
        <v>Mu &lt; Mn/𝜑</v>
      </c>
    </row>
    <row r="169" spans="1:15" x14ac:dyDescent="0.3">
      <c r="A169" s="38"/>
      <c r="B169" s="38"/>
      <c r="C169" s="38"/>
      <c r="D169" s="38"/>
      <c r="E169" s="38"/>
      <c r="F169" s="38"/>
      <c r="H169" s="38"/>
      <c r="I169" s="38"/>
      <c r="J169" s="38"/>
      <c r="K169" s="38"/>
      <c r="L169" s="38"/>
    </row>
    <row r="170" spans="1:15" ht="15.6" customHeight="1" x14ac:dyDescent="0.3">
      <c r="A170" s="7" t="str" cm="1">
        <f t="array" aca="1" ref="A170" ca="1">IF(AND(EXACT(M170,"SUBBAB"),SUBTOTAL(103,OFFSET(M170,0,0))),CHAR(64+SUMPRODUCT((EXACT(M$4:M170,"SUBBAB"))*SUBTOTAL(103,OFFSET(M$4,ROW(M$4:M170)-ROW(M$4),0)))),"")</f>
        <v/>
      </c>
      <c r="B170" s="7">
        <f>IF(N170="ANAK",_xlfn.AGGREGATE(2,5,$B$44:B166)+1,"")</f>
        <v>5</v>
      </c>
      <c r="C170" s="42" t="s">
        <v>178</v>
      </c>
      <c r="D170" s="42"/>
      <c r="E170" s="42"/>
      <c r="F170" s="42"/>
      <c r="H170" s="42"/>
      <c r="I170" s="38" t="s">
        <v>179</v>
      </c>
      <c r="J170" s="38"/>
      <c r="K170" s="38"/>
      <c r="L170" s="38"/>
      <c r="N170" s="5" t="s">
        <v>47</v>
      </c>
      <c r="O170" s="5"/>
    </row>
    <row r="171" spans="1:15" x14ac:dyDescent="0.3">
      <c r="A171" s="38"/>
      <c r="B171" s="38"/>
      <c r="C171" s="51" t="s">
        <v>180</v>
      </c>
      <c r="D171" s="51"/>
      <c r="E171" s="51"/>
      <c r="F171" s="51"/>
      <c r="H171" s="51"/>
      <c r="I171" s="6"/>
      <c r="J171" s="6"/>
      <c r="K171" s="6"/>
      <c r="L171" s="6"/>
    </row>
    <row r="172" spans="1:15" x14ac:dyDescent="0.3">
      <c r="A172" s="38"/>
      <c r="B172" s="38"/>
      <c r="C172" s="52" t="s">
        <v>130</v>
      </c>
      <c r="D172" s="48" t="s">
        <v>494</v>
      </c>
      <c r="E172" s="50" t="s">
        <v>479</v>
      </c>
      <c r="F172" s="48" t="s">
        <v>495</v>
      </c>
      <c r="G172" s="23" t="s">
        <v>480</v>
      </c>
      <c r="H172" s="5" t="s">
        <v>486</v>
      </c>
      <c r="I172" s="48" t="s">
        <v>132</v>
      </c>
    </row>
    <row r="173" spans="1:15" x14ac:dyDescent="0.3">
      <c r="A173" s="38"/>
      <c r="B173" s="38"/>
      <c r="C173" s="53"/>
      <c r="D173" s="54"/>
      <c r="E173" s="50" t="s">
        <v>56</v>
      </c>
      <c r="F173" s="50" t="s">
        <v>56</v>
      </c>
      <c r="G173" s="23" t="s">
        <v>56</v>
      </c>
      <c r="H173" s="55"/>
      <c r="I173" s="56"/>
    </row>
    <row r="174" spans="1:15" x14ac:dyDescent="0.3">
      <c r="A174" s="38"/>
      <c r="B174" s="38"/>
      <c r="C174" s="24" t="s">
        <v>182</v>
      </c>
      <c r="D174" s="25">
        <f>IF(I413&lt;=I414,1,0.9)</f>
        <v>1</v>
      </c>
      <c r="E174" s="47">
        <f>I427</f>
        <v>90</v>
      </c>
      <c r="F174" s="47">
        <f>D174*E174</f>
        <v>90</v>
      </c>
      <c r="G174" s="25">
        <f>$E$12</f>
        <v>10</v>
      </c>
      <c r="H174" s="26" t="str">
        <f>IF(G174&lt;F174,"OK","CEK")</f>
        <v>OK</v>
      </c>
      <c r="I174" s="26" t="str">
        <f>IF(G174&lt;F174,"Vu &lt; 𝜑Vn","Vu &gt; 𝜑Vn")</f>
        <v>Vu &lt; 𝜑Vn</v>
      </c>
    </row>
    <row r="175" spans="1:15" x14ac:dyDescent="0.3">
      <c r="A175" s="38"/>
      <c r="B175" s="38"/>
      <c r="C175" s="24" t="s">
        <v>183</v>
      </c>
      <c r="D175" s="25">
        <v>0.9</v>
      </c>
      <c r="E175" s="47">
        <f>I278</f>
        <v>26.770548444128035</v>
      </c>
      <c r="F175" s="47">
        <f>D175*E175</f>
        <v>24.093493599715231</v>
      </c>
      <c r="G175" s="25">
        <f>$E$12</f>
        <v>10</v>
      </c>
      <c r="H175" s="26" t="str">
        <f>IF(G175&lt;F175,"OK","CEK")</f>
        <v>OK</v>
      </c>
      <c r="I175" s="26" t="str">
        <f>IF(G175&lt;F175,"Vu &lt; 𝜑Vn","Vu &gt; 𝜑Vn")</f>
        <v>Vu &lt; 𝜑Vn</v>
      </c>
    </row>
    <row r="176" spans="1:15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L176" s="38"/>
    </row>
    <row r="177" spans="1:15" x14ac:dyDescent="0.3">
      <c r="A177" s="38"/>
      <c r="B177" s="38"/>
      <c r="C177" s="51" t="s">
        <v>184</v>
      </c>
      <c r="D177" s="51"/>
      <c r="E177" s="51"/>
      <c r="F177" s="51"/>
      <c r="G177" s="6"/>
      <c r="H177" s="6"/>
      <c r="I177" s="6"/>
      <c r="L177" s="6"/>
    </row>
    <row r="178" spans="1:15" x14ac:dyDescent="0.3">
      <c r="A178" s="38"/>
      <c r="B178" s="38"/>
      <c r="C178" s="48" t="s">
        <v>130</v>
      </c>
      <c r="D178" s="48" t="s">
        <v>494</v>
      </c>
      <c r="E178" s="49" t="s">
        <v>479</v>
      </c>
      <c r="F178" s="49" t="s">
        <v>496</v>
      </c>
      <c r="G178" s="23" t="s">
        <v>480</v>
      </c>
      <c r="H178" s="5" t="s">
        <v>486</v>
      </c>
      <c r="I178" s="48" t="s">
        <v>132</v>
      </c>
    </row>
    <row r="179" spans="1:15" x14ac:dyDescent="0.3">
      <c r="A179" s="38"/>
      <c r="B179" s="38"/>
      <c r="C179" s="48"/>
      <c r="D179" s="48"/>
      <c r="E179" s="49" t="s">
        <v>56</v>
      </c>
      <c r="F179" s="49" t="s">
        <v>56</v>
      </c>
      <c r="G179" s="23" t="s">
        <v>56</v>
      </c>
      <c r="H179" s="48"/>
      <c r="I179" s="48"/>
    </row>
    <row r="180" spans="1:15" x14ac:dyDescent="0.3">
      <c r="A180" s="38"/>
      <c r="B180" s="38"/>
      <c r="C180" s="24" t="s">
        <v>182</v>
      </c>
      <c r="D180" s="25">
        <f>IF(I413&lt;=I414,1.5,1.67)</f>
        <v>1.5</v>
      </c>
      <c r="E180" s="46">
        <f>E174</f>
        <v>90</v>
      </c>
      <c r="F180" s="46">
        <f>E180/D180</f>
        <v>60</v>
      </c>
      <c r="G180" s="25">
        <f>$E$12</f>
        <v>10</v>
      </c>
      <c r="H180" s="26" t="str">
        <f>IF(G180&lt;F180,"OK","CEK")</f>
        <v>OK</v>
      </c>
      <c r="I180" s="26" t="str">
        <f>IF(G180&lt;F180,"Vu &lt; Vn/𝜑","Vu &gt; Vn/𝜑")</f>
        <v>Vu &lt; Vn/𝜑</v>
      </c>
    </row>
    <row r="181" spans="1:15" x14ac:dyDescent="0.3">
      <c r="A181" s="38"/>
      <c r="B181" s="38"/>
      <c r="C181" s="24" t="s">
        <v>183</v>
      </c>
      <c r="D181" s="25">
        <v>1.67</v>
      </c>
      <c r="E181" s="47">
        <f>I278</f>
        <v>26.770548444128035</v>
      </c>
      <c r="F181" s="47">
        <f>D181*E181</f>
        <v>44.706815901693815</v>
      </c>
      <c r="G181" s="25">
        <f>$E$12</f>
        <v>10</v>
      </c>
      <c r="H181" s="26" t="str">
        <f>IF(G181&lt;F181,"OK","CEK")</f>
        <v>OK</v>
      </c>
      <c r="I181" s="26" t="str">
        <f>IF(G181&lt;F181,"Vu &lt; Vn/𝜑","Vu &gt; Vn/𝜑")</f>
        <v>Vu &lt; Vn/𝜑</v>
      </c>
    </row>
    <row r="182" spans="1:15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1:15" ht="15.6" customHeight="1" x14ac:dyDescent="0.3">
      <c r="A183" s="7" t="str" cm="1">
        <f t="array" aca="1" ref="A183" ca="1">IF(AND(EXACT(M183,"SUBBAB"),SUBTOTAL(103,OFFSET(M183,0,0))),CHAR(64+SUMPRODUCT((EXACT(M$4:M183,"SUBBAB"))*SUBTOTAL(103,OFFSET(M$4,ROW(M$4:M183)-ROW(M$4),0)))),"")</f>
        <v/>
      </c>
      <c r="B183" s="7">
        <f>IF(N183="ANAK",_xlfn.AGGREGATE(2,5,$B$44:B178)+1,"")</f>
        <v>6</v>
      </c>
      <c r="C183" s="42" t="s">
        <v>185</v>
      </c>
      <c r="D183" s="42"/>
      <c r="E183" s="42"/>
      <c r="F183" s="42"/>
      <c r="G183" s="42"/>
      <c r="H183" s="42"/>
      <c r="I183" s="38" t="s">
        <v>186</v>
      </c>
      <c r="J183" s="38"/>
      <c r="K183" s="38"/>
      <c r="L183" s="38"/>
      <c r="N183" s="5" t="s">
        <v>47</v>
      </c>
      <c r="O183" s="5"/>
    </row>
    <row r="184" spans="1:15" x14ac:dyDescent="0.3">
      <c r="A184" s="38"/>
      <c r="B184" s="38"/>
      <c r="C184" s="51" t="s">
        <v>187</v>
      </c>
      <c r="D184" s="51"/>
      <c r="E184" s="51"/>
      <c r="F184" s="51"/>
      <c r="G184" s="51"/>
      <c r="H184" s="51"/>
      <c r="I184" s="6"/>
      <c r="J184" s="6"/>
      <c r="K184" s="6"/>
      <c r="L184" s="6"/>
    </row>
    <row r="185" spans="1:15" x14ac:dyDescent="0.3">
      <c r="A185" s="38"/>
      <c r="B185" s="38"/>
      <c r="C185" s="52" t="s">
        <v>130</v>
      </c>
      <c r="D185" s="52" t="s">
        <v>497</v>
      </c>
      <c r="E185" s="50" t="s">
        <v>481</v>
      </c>
      <c r="F185" s="52" t="s">
        <v>498</v>
      </c>
      <c r="G185" s="23" t="s">
        <v>482</v>
      </c>
      <c r="H185" s="5" t="s">
        <v>486</v>
      </c>
      <c r="I185" s="48" t="s">
        <v>132</v>
      </c>
    </row>
    <row r="186" spans="1:15" x14ac:dyDescent="0.3">
      <c r="A186" s="38"/>
      <c r="B186" s="38"/>
      <c r="C186" s="24" t="s">
        <v>189</v>
      </c>
      <c r="D186" s="25">
        <f>IF(I426&lt;=I427,1,0.9)</f>
        <v>0.9</v>
      </c>
      <c r="E186" s="47">
        <f>I459</f>
        <v>0.21662072074482391</v>
      </c>
      <c r="F186" s="47">
        <f>D186*E186</f>
        <v>0.19495864867034152</v>
      </c>
      <c r="G186" s="25">
        <f>$E$13</f>
        <v>20</v>
      </c>
      <c r="H186" s="26" t="str">
        <f>IF(G186&lt;F186,"OK","CEK")</f>
        <v>CEK</v>
      </c>
      <c r="I186" s="26" t="str">
        <f>IF(G186&lt;F186,"Tu &lt; 𝜑Tn","Tu &gt; 𝜑Tn")</f>
        <v>Tu &gt; 𝜑Tn</v>
      </c>
    </row>
    <row r="187" spans="1:15" x14ac:dyDescent="0.3">
      <c r="A187" s="38"/>
      <c r="B187" s="38"/>
      <c r="C187" s="24" t="s">
        <v>190</v>
      </c>
      <c r="D187" s="25">
        <f>IF(I427&lt;=I428,1,0.9)</f>
        <v>0.9</v>
      </c>
      <c r="E187" s="47">
        <f>I461</f>
        <v>0.12997243244689435</v>
      </c>
      <c r="F187" s="47">
        <f>D187*E187</f>
        <v>0.11697518920220493</v>
      </c>
      <c r="G187" s="25">
        <f>$E$13</f>
        <v>20</v>
      </c>
      <c r="H187" s="26" t="str">
        <f>IF(G187&lt;F187,"OK","CEK")</f>
        <v>CEK</v>
      </c>
      <c r="I187" s="26" t="str">
        <f>IF(G187&lt;F187,"Tu &lt; 𝜑Tn","Tu &gt; 𝜑Tn")</f>
        <v>Tu &gt; 𝜑Tn</v>
      </c>
    </row>
    <row r="188" spans="1:15" x14ac:dyDescent="0.3">
      <c r="A188" s="38"/>
      <c r="B188" s="38"/>
      <c r="C188" s="24" t="s">
        <v>191</v>
      </c>
      <c r="D188" s="25">
        <v>0.9</v>
      </c>
      <c r="E188" s="47">
        <f>I463</f>
        <v>1.1445044079415112</v>
      </c>
      <c r="F188" s="47">
        <f>D188*E188</f>
        <v>1.0300539671473601</v>
      </c>
      <c r="G188" s="25">
        <f>$E$13</f>
        <v>20</v>
      </c>
      <c r="H188" s="26" t="str">
        <f>IF(G188&lt;F188,"OK","CEK")</f>
        <v>CEK</v>
      </c>
      <c r="I188" s="26" t="str">
        <f>IF(G188&lt;F188,"Tu &lt; 𝜑Tn","Tu &gt; 𝜑Tn")</f>
        <v>Tu &gt; 𝜑Tn</v>
      </c>
    </row>
    <row r="189" spans="1:15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L189" s="38"/>
    </row>
    <row r="190" spans="1:15" x14ac:dyDescent="0.3">
      <c r="A190" s="38"/>
      <c r="B190" s="38"/>
      <c r="C190" s="51" t="s">
        <v>192</v>
      </c>
      <c r="D190" s="51"/>
      <c r="E190" s="51"/>
      <c r="F190" s="51"/>
      <c r="G190" s="6"/>
      <c r="H190" s="6"/>
      <c r="I190" s="6"/>
      <c r="L190" s="6"/>
    </row>
    <row r="191" spans="1:15" x14ac:dyDescent="0.3">
      <c r="A191" s="38"/>
      <c r="B191" s="38"/>
      <c r="C191" s="48" t="s">
        <v>130</v>
      </c>
      <c r="D191" s="52" t="s">
        <v>497</v>
      </c>
      <c r="E191" s="49" t="s">
        <v>481</v>
      </c>
      <c r="F191" s="49" t="s">
        <v>499</v>
      </c>
      <c r="G191" s="23" t="s">
        <v>482</v>
      </c>
      <c r="H191" s="5" t="s">
        <v>486</v>
      </c>
      <c r="I191" s="48" t="s">
        <v>132</v>
      </c>
    </row>
    <row r="192" spans="1:15" x14ac:dyDescent="0.3">
      <c r="A192" s="38"/>
      <c r="B192" s="38"/>
      <c r="C192" s="24" t="s">
        <v>189</v>
      </c>
      <c r="D192" s="25">
        <v>1.67</v>
      </c>
      <c r="E192" s="46">
        <f>E186</f>
        <v>0.21662072074482391</v>
      </c>
      <c r="F192" s="46">
        <f>E192/D192</f>
        <v>0.12971300643402631</v>
      </c>
      <c r="G192" s="25">
        <f>$E$13</f>
        <v>20</v>
      </c>
      <c r="H192" s="26" t="str">
        <f>IF(G192&lt;F192,"OK","CEK")</f>
        <v>CEK</v>
      </c>
      <c r="I192" s="26" t="str">
        <f>IF(G192&lt;F192,"Tu &lt; Tn/𝜑","Tu &gt; Tn/𝜑")</f>
        <v>Tu &gt; Tn/𝜑</v>
      </c>
    </row>
    <row r="193" spans="1:18" x14ac:dyDescent="0.3">
      <c r="A193" s="38"/>
      <c r="B193" s="38"/>
      <c r="C193" s="24" t="s">
        <v>190</v>
      </c>
      <c r="D193" s="25">
        <v>1.67</v>
      </c>
      <c r="E193" s="46">
        <f>E187</f>
        <v>0.12997243244689435</v>
      </c>
      <c r="F193" s="46">
        <f>E193/D193</f>
        <v>7.7827803860415781E-2</v>
      </c>
      <c r="G193" s="25">
        <f>$E$13</f>
        <v>20</v>
      </c>
      <c r="H193" s="26" t="str">
        <f>IF(G193&lt;F193,"OK","CEK")</f>
        <v>CEK</v>
      </c>
      <c r="I193" s="26" t="str">
        <f>IF(G193&lt;F193,"Tu &lt; Tn/𝜑","Tu &gt; Tn/𝜑")</f>
        <v>Tu &gt; Tn/𝜑</v>
      </c>
    </row>
    <row r="194" spans="1:18" x14ac:dyDescent="0.3">
      <c r="A194" s="38"/>
      <c r="B194" s="38"/>
      <c r="C194" s="24" t="s">
        <v>191</v>
      </c>
      <c r="D194" s="25">
        <v>1.67</v>
      </c>
      <c r="E194" s="46">
        <f>E188</f>
        <v>1.1445044079415112</v>
      </c>
      <c r="F194" s="47">
        <f>D194*E194</f>
        <v>1.9113223612623236</v>
      </c>
      <c r="G194" s="25">
        <f>$E$13</f>
        <v>20</v>
      </c>
      <c r="H194" s="26" t="str">
        <f>IF(G194&lt;F194,"OK","CEK")</f>
        <v>CEK</v>
      </c>
      <c r="I194" s="26" t="str">
        <f>IF(G194&lt;F194,"Tu &lt; Tn/𝜑","Tu &gt; Tn/𝜑")</f>
        <v>Tu &gt; Tn/𝜑</v>
      </c>
    </row>
    <row r="195" spans="1:18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spans="1:18" ht="15.6" customHeight="1" x14ac:dyDescent="0.3">
      <c r="A196" s="7" t="str" cm="1">
        <f t="array" aca="1" ref="A196" ca="1">IF(AND(EXACT(M196,"SUBBAB"),SUBTOTAL(103,OFFSET(M196,0,0))),CHAR(64+SUMPRODUCT((EXACT(M$4:M196,"SUBBAB"))*SUBTOTAL(103,OFFSET(M$4,ROW(M$4:M196)-ROW(M$4),0)))),"")</f>
        <v/>
      </c>
      <c r="B196" s="7">
        <f>IF(N196="ANAK",_xlfn.AGGREGATE(2,5,$B$44:B191)+1,"")</f>
        <v>7</v>
      </c>
      <c r="C196" s="42" t="s">
        <v>193</v>
      </c>
      <c r="D196" s="42"/>
      <c r="E196" s="42"/>
      <c r="F196" s="42"/>
      <c r="G196" s="42"/>
      <c r="H196" s="42"/>
      <c r="I196" s="38" t="s">
        <v>186</v>
      </c>
      <c r="J196" s="38"/>
      <c r="K196" s="38"/>
      <c r="L196" s="38"/>
      <c r="N196" s="5" t="s">
        <v>47</v>
      </c>
      <c r="O196" s="5"/>
    </row>
    <row r="197" spans="1:18" x14ac:dyDescent="0.3">
      <c r="A197" s="38"/>
      <c r="B197" s="38"/>
      <c r="C197" s="42" t="s">
        <v>194</v>
      </c>
      <c r="D197" s="42"/>
      <c r="E197" s="42"/>
      <c r="F197" s="42"/>
      <c r="G197" s="42"/>
      <c r="H197" s="42"/>
      <c r="I197" s="6"/>
      <c r="J197" s="6"/>
      <c r="K197" s="6"/>
      <c r="L197" s="6"/>
    </row>
    <row r="198" spans="1:18" x14ac:dyDescent="0.3">
      <c r="A198" s="38"/>
      <c r="B198" s="38"/>
      <c r="C198" s="6" t="str">
        <f>IF(RIGHT(E197,1)="a","Pu/Pn","Pu/2Pn")</f>
        <v>Pu/2Pn</v>
      </c>
      <c r="D198" s="6"/>
      <c r="E198" s="5" t="s">
        <v>195</v>
      </c>
      <c r="F198" s="40" t="str">
        <f>IF(RIGHT(E197,1)="a","(8/9).((Mux/Mnx)+(Muy/Mny))","((Mux/Mnx)+(Muy/Mny))")</f>
        <v>((Mux/Mnx)+(Muy/Mny))</v>
      </c>
      <c r="G198" s="40"/>
      <c r="H198" s="40"/>
      <c r="I198" s="11" t="s">
        <v>122</v>
      </c>
      <c r="J198" s="29">
        <v>1</v>
      </c>
      <c r="K198" s="6"/>
      <c r="L198" s="6"/>
    </row>
    <row r="199" spans="1:18" x14ac:dyDescent="0.3">
      <c r="A199" s="38"/>
      <c r="B199" s="38"/>
      <c r="C199" s="39">
        <f>D476</f>
        <v>1</v>
      </c>
      <c r="D199" s="39"/>
      <c r="E199" s="5" t="s">
        <v>195</v>
      </c>
      <c r="F199" s="37">
        <f>G476</f>
        <v>16.226807300849554</v>
      </c>
      <c r="G199" s="37"/>
      <c r="H199" s="37"/>
      <c r="I199" s="11" t="str">
        <f>I200</f>
        <v>&gt;</v>
      </c>
      <c r="J199" s="29">
        <v>1</v>
      </c>
      <c r="K199" s="6"/>
      <c r="L199" s="6"/>
    </row>
    <row r="200" spans="1:18" x14ac:dyDescent="0.3">
      <c r="A200" s="38"/>
      <c r="B200" s="38"/>
      <c r="C200" s="37">
        <f>C199+F199</f>
        <v>17.226807300849554</v>
      </c>
      <c r="D200" s="6"/>
      <c r="E200" s="6"/>
      <c r="F200" s="6"/>
      <c r="G200" s="6"/>
      <c r="H200" s="6"/>
      <c r="I200" s="11" t="str">
        <f>IF(C200&lt;=J200,"£","&gt;")</f>
        <v>&gt;</v>
      </c>
      <c r="J200" s="29">
        <v>1</v>
      </c>
      <c r="K200" s="38" t="str">
        <f>IF(I200=I198,"OK","CEK LAGI")</f>
        <v>CEK LAGI</v>
      </c>
      <c r="L200" s="38"/>
      <c r="M200" s="7"/>
      <c r="N200" s="7"/>
      <c r="O200" s="7"/>
      <c r="P200" s="7"/>
      <c r="Q200" s="7"/>
      <c r="R200" s="7"/>
    </row>
    <row r="201" spans="1:18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spans="1:18" x14ac:dyDescent="0.3">
      <c r="A202" s="38"/>
      <c r="B202" s="38"/>
      <c r="C202" s="42" t="s">
        <v>196</v>
      </c>
      <c r="D202" s="42"/>
      <c r="E202" s="42"/>
      <c r="F202" s="42"/>
      <c r="G202" s="42"/>
      <c r="H202" s="42"/>
      <c r="I202" s="6"/>
      <c r="J202" s="6"/>
      <c r="K202" s="6"/>
      <c r="L202" s="6"/>
    </row>
    <row r="203" spans="1:18" x14ac:dyDescent="0.3">
      <c r="A203" s="38"/>
      <c r="B203" s="38"/>
      <c r="C203" s="6" t="str">
        <f>IF(RIGHT(E202,1)="a","Pu/Pn","Pu/2Pn")</f>
        <v>Pu/2Pn</v>
      </c>
      <c r="D203" s="6"/>
      <c r="E203" s="5" t="s">
        <v>195</v>
      </c>
      <c r="F203" s="40" t="str">
        <f>IF(RIGHT(E202,1)="a","(8/9).((Mux/Mnx)+(Muy/Mny))","((Mux/Mnx)+(Muy/Mny))")</f>
        <v>((Mux/Mnx)+(Muy/Mny))</v>
      </c>
      <c r="G203" s="40"/>
      <c r="H203" s="40"/>
      <c r="I203" s="11" t="s">
        <v>122</v>
      </c>
      <c r="J203" s="29">
        <v>1</v>
      </c>
      <c r="K203" s="6"/>
      <c r="L203" s="6"/>
    </row>
    <row r="204" spans="1:18" x14ac:dyDescent="0.3">
      <c r="A204" s="38"/>
      <c r="B204" s="38"/>
      <c r="C204" s="39">
        <f>D490</f>
        <v>1</v>
      </c>
      <c r="D204" s="39"/>
      <c r="E204" s="5" t="s">
        <v>195</v>
      </c>
      <c r="F204" s="37">
        <f>G490</f>
        <v>16.226807300849554</v>
      </c>
      <c r="G204" s="37"/>
      <c r="H204" s="37"/>
      <c r="I204" s="11" t="str">
        <f>I205</f>
        <v>&gt;</v>
      </c>
      <c r="J204" s="29">
        <v>1</v>
      </c>
      <c r="K204" s="6"/>
      <c r="L204" s="6"/>
    </row>
    <row r="205" spans="1:18" x14ac:dyDescent="0.3">
      <c r="A205" s="38"/>
      <c r="B205" s="38"/>
      <c r="C205" s="37">
        <f>C204+F204</f>
        <v>17.226807300849554</v>
      </c>
      <c r="D205" s="6"/>
      <c r="E205" s="6"/>
      <c r="F205" s="6"/>
      <c r="G205" s="6"/>
      <c r="H205" s="6"/>
      <c r="I205" s="11" t="str">
        <f>IF(C205&lt;=J205,"£","&gt;")</f>
        <v>&gt;</v>
      </c>
      <c r="J205" s="29">
        <v>1</v>
      </c>
      <c r="K205" s="38" t="str">
        <f>IF(I205=I203,"OK","CEK LAGI")</f>
        <v>CEK LAGI</v>
      </c>
      <c r="L205" s="38"/>
    </row>
    <row r="206" spans="1:18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</row>
    <row r="207" spans="1:18" x14ac:dyDescent="0.3">
      <c r="A207" s="7" t="str" cm="1">
        <f t="array" aca="1" ref="A207" ca="1">IF(AND(EXACT(M207,"SUBBAB"),SUBTOTAL(103,OFFSET(M207,0,0))),CHAR(64+SUMPRODUCT((EXACT(M$4:M207,"SUBBAB"))*SUBTOTAL(103,OFFSET(M$4,ROW(M$4:M207)-ROW(M$4),0)))),"")</f>
        <v>C</v>
      </c>
      <c r="B207" s="42" t="s">
        <v>123</v>
      </c>
      <c r="C207" s="42"/>
      <c r="D207" s="42"/>
      <c r="E207" s="42"/>
      <c r="F207" s="42"/>
      <c r="G207" s="42"/>
      <c r="H207" s="38" t="s">
        <v>124</v>
      </c>
      <c r="I207" s="38"/>
      <c r="J207" s="38"/>
      <c r="K207" s="38"/>
      <c r="L207" s="38"/>
      <c r="M207" s="5" t="s">
        <v>45</v>
      </c>
    </row>
    <row r="208" spans="1:18" x14ac:dyDescent="0.3">
      <c r="A208" s="7" t="str" cm="1">
        <f t="array" aca="1" ref="A208" ca="1">IF(AND(EXACT(M208,"SUBBAB"),SUBTOTAL(103,OFFSET(M208,0,0))),CHAR(64+SUMPRODUCT((EXACT(M$4:M208,"SUBBAB"))*SUBTOTAL(103,OFFSET(M$4,ROW(M$4:M208)-ROW(M$4),0)))),"")</f>
        <v/>
      </c>
      <c r="B208" s="7">
        <f>IF(N208="ANAK",_xlfn.AGGREGATE(2,5,$B$207:B207)+1,"")</f>
        <v>1</v>
      </c>
      <c r="C208" s="42" t="s">
        <v>197</v>
      </c>
      <c r="D208" s="42"/>
      <c r="E208" s="42"/>
      <c r="F208" s="42"/>
      <c r="G208" s="42"/>
      <c r="H208" s="6"/>
      <c r="I208" s="6"/>
      <c r="J208" s="6"/>
      <c r="K208" s="6"/>
      <c r="L208" s="6"/>
      <c r="N208" s="5" t="s">
        <v>47</v>
      </c>
      <c r="O208" s="5"/>
    </row>
    <row r="209" spans="1:15" ht="15.6" customHeight="1" x14ac:dyDescent="0.3">
      <c r="A209" s="38"/>
      <c r="B209" s="38"/>
      <c r="C209" s="27" t="s">
        <v>198</v>
      </c>
      <c r="D209" s="5" t="s">
        <v>199</v>
      </c>
      <c r="E209" s="9">
        <v>1</v>
      </c>
      <c r="H209" s="5" t="s">
        <v>50</v>
      </c>
      <c r="K209" s="6" t="s">
        <v>200</v>
      </c>
      <c r="L209" s="6"/>
      <c r="N209" s="5"/>
      <c r="O209" s="5"/>
    </row>
    <row r="210" spans="1:15" ht="15.6" customHeight="1" x14ac:dyDescent="0.3">
      <c r="A210" s="38"/>
      <c r="B210" s="38"/>
      <c r="C210" s="27" t="s">
        <v>487</v>
      </c>
      <c r="D210" s="5" t="s">
        <v>211</v>
      </c>
      <c r="E210" s="9">
        <v>20</v>
      </c>
      <c r="F210" s="5" t="s">
        <v>3</v>
      </c>
      <c r="H210" s="5" t="s">
        <v>50</v>
      </c>
      <c r="K210" s="6" t="s">
        <v>200</v>
      </c>
      <c r="L210" s="6"/>
      <c r="N210" s="5"/>
      <c r="O210" s="5"/>
    </row>
    <row r="211" spans="1:15" ht="15.6" customHeight="1" x14ac:dyDescent="0.3">
      <c r="A211" s="38"/>
      <c r="B211" s="38"/>
      <c r="C211" s="27" t="s">
        <v>212</v>
      </c>
      <c r="D211" s="5" t="s">
        <v>70</v>
      </c>
      <c r="E211" s="9">
        <v>2</v>
      </c>
      <c r="F211" s="5" t="s">
        <v>3</v>
      </c>
      <c r="H211" s="5" t="s">
        <v>50</v>
      </c>
      <c r="K211" s="6" t="s">
        <v>200</v>
      </c>
      <c r="L211" s="6"/>
      <c r="N211" s="5"/>
      <c r="O211" s="5"/>
    </row>
    <row r="212" spans="1:15" ht="15.6" customHeight="1" x14ac:dyDescent="0.3">
      <c r="A212" s="38"/>
      <c r="B212" s="38"/>
      <c r="C212" s="27" t="s">
        <v>213</v>
      </c>
      <c r="D212" s="5" t="s">
        <v>214</v>
      </c>
      <c r="E212" s="9">
        <v>0</v>
      </c>
      <c r="F212" s="5" t="s">
        <v>3</v>
      </c>
      <c r="H212" s="5" t="s">
        <v>50</v>
      </c>
      <c r="K212" s="6" t="s">
        <v>200</v>
      </c>
      <c r="L212" s="6"/>
      <c r="N212" s="5"/>
      <c r="O212" s="5"/>
    </row>
    <row r="213" spans="1:15" ht="16.8" x14ac:dyDescent="0.35">
      <c r="A213" s="38"/>
      <c r="B213" s="38"/>
      <c r="C213" s="27" t="s">
        <v>201</v>
      </c>
      <c r="D213" s="5" t="s">
        <v>202</v>
      </c>
      <c r="E213" s="9">
        <v>1</v>
      </c>
      <c r="F213" s="5" t="s">
        <v>89</v>
      </c>
      <c r="H213" s="5" t="s">
        <v>50</v>
      </c>
      <c r="K213" s="6"/>
      <c r="L213" s="6"/>
      <c r="N213" s="5"/>
      <c r="O213" s="5"/>
    </row>
    <row r="214" spans="1:15" ht="16.2" customHeight="1" x14ac:dyDescent="0.35">
      <c r="A214" s="38"/>
      <c r="B214" s="38"/>
      <c r="C214" s="27" t="s">
        <v>203</v>
      </c>
      <c r="D214" s="27"/>
      <c r="E214" s="27"/>
      <c r="F214" s="27"/>
      <c r="G214" s="5" t="s">
        <v>204</v>
      </c>
      <c r="H214" s="5" t="s">
        <v>50</v>
      </c>
      <c r="I214" s="5" t="s">
        <v>205</v>
      </c>
      <c r="J214" s="6" t="s">
        <v>206</v>
      </c>
      <c r="K214" s="6"/>
      <c r="L214" s="6"/>
      <c r="N214" s="5"/>
      <c r="O214" s="5"/>
    </row>
    <row r="215" spans="1:15" ht="16.2" x14ac:dyDescent="0.3">
      <c r="A215" s="38"/>
      <c r="B215" s="38"/>
      <c r="C215" s="38"/>
      <c r="D215" s="38"/>
      <c r="E215" s="38"/>
      <c r="F215" s="38"/>
      <c r="G215" s="38"/>
      <c r="H215" s="5" t="s">
        <v>50</v>
      </c>
      <c r="I215" s="10">
        <f>E27-E213</f>
        <v>2188.8407346410208</v>
      </c>
      <c r="J215" s="5" t="s">
        <v>89</v>
      </c>
      <c r="K215" s="6"/>
      <c r="L215" s="6"/>
      <c r="N215" s="5"/>
      <c r="O215" s="5"/>
    </row>
    <row r="216" spans="1:15" ht="15.6" customHeight="1" x14ac:dyDescent="0.3">
      <c r="A216" s="38"/>
      <c r="B216" s="38"/>
      <c r="C216" s="27" t="s">
        <v>207</v>
      </c>
      <c r="D216" s="27"/>
      <c r="E216" s="27"/>
      <c r="F216" s="27"/>
      <c r="G216" s="5" t="s">
        <v>208</v>
      </c>
      <c r="H216" s="5" t="s">
        <v>50</v>
      </c>
      <c r="I216" s="10" t="s">
        <v>209</v>
      </c>
      <c r="J216" s="6" t="s">
        <v>210</v>
      </c>
      <c r="K216" s="6"/>
      <c r="L216" s="6"/>
      <c r="N216" s="5"/>
      <c r="O216" s="5"/>
    </row>
    <row r="217" spans="1:15" ht="16.2" x14ac:dyDescent="0.3">
      <c r="A217" s="38"/>
      <c r="B217" s="38"/>
      <c r="C217" s="38"/>
      <c r="D217" s="38"/>
      <c r="E217" s="38"/>
      <c r="F217" s="38"/>
      <c r="G217" s="38"/>
      <c r="H217" s="5" t="s">
        <v>50</v>
      </c>
      <c r="I217" s="10">
        <f>I215*E209</f>
        <v>2188.8407346410208</v>
      </c>
      <c r="J217" s="5" t="s">
        <v>89</v>
      </c>
      <c r="K217" s="6"/>
      <c r="L217" s="6"/>
      <c r="N217" s="5"/>
      <c r="O217" s="5"/>
    </row>
    <row r="218" spans="1:15" ht="15.6" customHeight="1" x14ac:dyDescent="0.3">
      <c r="A218" s="38"/>
      <c r="B218" s="38"/>
      <c r="C218" s="38"/>
      <c r="D218" s="38"/>
      <c r="E218" s="38"/>
      <c r="F218" s="38"/>
      <c r="G218" s="5" t="s">
        <v>215</v>
      </c>
      <c r="H218" s="5" t="s">
        <v>50</v>
      </c>
      <c r="I218" s="10" t="s">
        <v>216</v>
      </c>
      <c r="J218" s="6" t="s">
        <v>200</v>
      </c>
      <c r="K218" s="6"/>
      <c r="L218" s="6"/>
      <c r="N218" s="5"/>
      <c r="O218" s="5"/>
    </row>
    <row r="219" spans="1:15" ht="14.4" customHeight="1" x14ac:dyDescent="0.3">
      <c r="A219" s="38"/>
      <c r="B219" s="38"/>
      <c r="C219" s="38"/>
      <c r="D219" s="38"/>
      <c r="E219" s="38"/>
      <c r="F219" s="38"/>
      <c r="G219" s="38"/>
      <c r="H219" s="5" t="s">
        <v>50</v>
      </c>
      <c r="I219" s="10">
        <f>2*E212+0.63</f>
        <v>0.63</v>
      </c>
      <c r="J219" s="5" t="s">
        <v>3</v>
      </c>
      <c r="K219" s="6"/>
      <c r="L219" s="6"/>
      <c r="N219" s="5"/>
      <c r="O219" s="5"/>
    </row>
    <row r="220" spans="1:15" ht="15.6" customHeight="1" x14ac:dyDescent="0.3">
      <c r="A220" s="38"/>
      <c r="B220" s="38"/>
      <c r="C220" s="27" t="s">
        <v>217</v>
      </c>
      <c r="D220" s="27"/>
      <c r="E220" s="27"/>
      <c r="F220" s="27"/>
      <c r="G220" s="5" t="s">
        <v>218</v>
      </c>
      <c r="H220" s="5" t="s">
        <v>50</v>
      </c>
      <c r="I220" s="10" t="s">
        <v>219</v>
      </c>
      <c r="J220" s="6" t="s">
        <v>200</v>
      </c>
      <c r="K220" s="6"/>
      <c r="L220" s="6"/>
      <c r="N220" s="5"/>
      <c r="O220" s="5"/>
    </row>
    <row r="221" spans="1:15" ht="16.2" customHeight="1" x14ac:dyDescent="0.3">
      <c r="A221" s="38"/>
      <c r="B221" s="38"/>
      <c r="C221" s="38"/>
      <c r="D221" s="38"/>
      <c r="E221" s="38"/>
      <c r="F221" s="38"/>
      <c r="G221" s="38"/>
      <c r="H221" s="5" t="s">
        <v>50</v>
      </c>
      <c r="I221" s="10">
        <f>2*E212*(E210+E211/2)</f>
        <v>0</v>
      </c>
      <c r="J221" s="5" t="s">
        <v>89</v>
      </c>
      <c r="K221" s="6"/>
      <c r="L221" s="6"/>
      <c r="N221" s="5"/>
      <c r="O221" s="5"/>
    </row>
    <row r="222" spans="1:15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N222" s="5"/>
      <c r="O222" s="5"/>
    </row>
    <row r="223" spans="1:15" x14ac:dyDescent="0.3">
      <c r="A223" s="7" t="str" cm="1">
        <f t="array" aca="1" ref="A223" ca="1">IF(AND(EXACT(M223,"SUBBAB"),SUBTOTAL(103,OFFSET(M223,0,0))),CHAR(64+SUMPRODUCT((EXACT(M$4:M223,"SUBBAB"))*SUBTOTAL(103,OFFSET(M$4,ROW(M$4:M223)-ROW(M$4),0)))),"")</f>
        <v/>
      </c>
      <c r="B223" s="7">
        <f>IF(N223="ANAK",_xlfn.AGGREGATE(2,5,$B$207:B222)+1,"")</f>
        <v>2</v>
      </c>
      <c r="C223" s="42" t="s">
        <v>220</v>
      </c>
      <c r="D223" s="42"/>
      <c r="E223" s="42"/>
      <c r="F223" s="42"/>
      <c r="G223" s="42"/>
      <c r="H223" s="6"/>
      <c r="I223" s="6"/>
      <c r="J223" s="6"/>
      <c r="K223" s="6"/>
      <c r="L223" s="6"/>
      <c r="N223" s="5" t="s">
        <v>47</v>
      </c>
      <c r="O223" s="5"/>
    </row>
    <row r="224" spans="1:15" ht="15.6" customHeight="1" x14ac:dyDescent="0.3">
      <c r="A224" s="38"/>
      <c r="B224" s="38"/>
      <c r="C224" s="27" t="s">
        <v>221</v>
      </c>
      <c r="D224" s="27"/>
      <c r="E224" s="27"/>
      <c r="F224" s="27"/>
      <c r="G224" s="5" t="s">
        <v>131</v>
      </c>
      <c r="H224" s="5" t="s">
        <v>50</v>
      </c>
      <c r="I224" s="10" t="s">
        <v>222</v>
      </c>
      <c r="J224" s="6" t="s">
        <v>223</v>
      </c>
      <c r="K224" s="6"/>
      <c r="L224" s="6"/>
      <c r="N224" s="5"/>
      <c r="O224" s="5"/>
    </row>
    <row r="225" spans="1:15" x14ac:dyDescent="0.3">
      <c r="A225" s="38"/>
      <c r="B225" s="38"/>
      <c r="C225" s="38"/>
      <c r="D225" s="38"/>
      <c r="E225" s="38"/>
      <c r="F225" s="38"/>
      <c r="G225" s="38"/>
      <c r="H225" s="5" t="s">
        <v>50</v>
      </c>
      <c r="I225" s="10">
        <f>E15*E27/10^3</f>
        <v>547.46018366025521</v>
      </c>
      <c r="J225" s="5" t="s">
        <v>56</v>
      </c>
      <c r="K225" s="6"/>
      <c r="L225" s="6"/>
      <c r="N225" s="5"/>
      <c r="O225" s="5"/>
    </row>
    <row r="226" spans="1:15" ht="15.6" customHeight="1" x14ac:dyDescent="0.3">
      <c r="A226" s="38"/>
      <c r="B226" s="38"/>
      <c r="C226" s="27" t="s">
        <v>224</v>
      </c>
      <c r="D226" s="27"/>
      <c r="E226" s="27"/>
      <c r="F226" s="27"/>
      <c r="G226" s="5" t="s">
        <v>131</v>
      </c>
      <c r="H226" s="5" t="s">
        <v>50</v>
      </c>
      <c r="I226" s="10" t="s">
        <v>225</v>
      </c>
      <c r="J226" s="6" t="s">
        <v>226</v>
      </c>
      <c r="K226" s="6"/>
      <c r="L226" s="6"/>
      <c r="N226" s="5"/>
      <c r="O226" s="5"/>
    </row>
    <row r="227" spans="1:15" x14ac:dyDescent="0.3">
      <c r="A227" s="38"/>
      <c r="B227" s="38"/>
      <c r="C227" s="38"/>
      <c r="D227" s="38"/>
      <c r="E227" s="38"/>
      <c r="F227" s="38"/>
      <c r="G227" s="38"/>
      <c r="H227" s="5" t="s">
        <v>50</v>
      </c>
      <c r="I227" s="10">
        <f>E16*I217/10^3</f>
        <v>875.53629385640829</v>
      </c>
      <c r="J227" s="5" t="s">
        <v>56</v>
      </c>
      <c r="K227" s="6"/>
      <c r="L227" s="6"/>
      <c r="N227" s="5"/>
      <c r="O227" s="5"/>
    </row>
    <row r="228" spans="1:15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N228" s="5"/>
      <c r="O228" s="5"/>
    </row>
    <row r="229" spans="1:15" ht="14.4" customHeight="1" x14ac:dyDescent="0.3">
      <c r="A229" s="7" t="str" cm="1">
        <f t="array" aca="1" ref="A229" ca="1">IF(AND(EXACT(M229,"SUBBAB"),SUBTOTAL(103,OFFSET(M229,0,0))),CHAR(64+SUMPRODUCT((EXACT(M$4:M229,"SUBBAB"))*SUBTOTAL(103,OFFSET(M$4,ROW(M$4:M229)-ROW(M$4),0)))),"")</f>
        <v/>
      </c>
      <c r="B229" s="7">
        <f>IF(N229="ANAK",_xlfn.AGGREGATE(2,5,$B$207:B228)+1,"")</f>
        <v>3</v>
      </c>
      <c r="C229" s="42" t="s">
        <v>227</v>
      </c>
      <c r="D229" s="42"/>
      <c r="E229" s="42"/>
      <c r="F229" s="42"/>
      <c r="G229" s="42"/>
      <c r="H229" s="6"/>
      <c r="I229" s="6"/>
      <c r="J229" s="6"/>
      <c r="K229" s="6"/>
      <c r="L229" s="6"/>
      <c r="N229" s="5" t="s">
        <v>47</v>
      </c>
      <c r="O229" s="5"/>
    </row>
    <row r="230" spans="1:15" ht="15.6" customHeight="1" x14ac:dyDescent="0.3">
      <c r="A230" s="38"/>
      <c r="B230" s="38"/>
      <c r="C230" s="27" t="s">
        <v>228</v>
      </c>
      <c r="D230" s="27"/>
      <c r="E230" s="27"/>
      <c r="F230" s="27"/>
      <c r="G230" s="5" t="s">
        <v>131</v>
      </c>
      <c r="H230" s="5" t="s">
        <v>50</v>
      </c>
      <c r="I230" s="10" t="s">
        <v>229</v>
      </c>
      <c r="J230" s="6" t="s">
        <v>230</v>
      </c>
      <c r="K230" s="6"/>
      <c r="L230" s="6"/>
      <c r="N230" s="5"/>
      <c r="O230" s="5"/>
    </row>
    <row r="231" spans="1:15" ht="14.4" customHeight="1" x14ac:dyDescent="0.3">
      <c r="A231" s="38"/>
      <c r="B231" s="38"/>
      <c r="C231" s="38"/>
      <c r="D231" s="38"/>
      <c r="E231" s="38"/>
      <c r="F231" s="38"/>
      <c r="G231" s="38"/>
      <c r="H231" s="5" t="s">
        <v>50</v>
      </c>
      <c r="I231" s="10" t="str">
        <f>IF(E17="Ya",E16*(2*E212*I219)/10^3,"Tidak berlaku")</f>
        <v>Tidak berlaku</v>
      </c>
      <c r="J231" s="5" t="s">
        <v>56</v>
      </c>
      <c r="K231" s="6"/>
      <c r="L231" s="6"/>
      <c r="N231" s="5"/>
      <c r="O231" s="5"/>
    </row>
    <row r="232" spans="1:15" ht="15.6" customHeight="1" x14ac:dyDescent="0.3">
      <c r="A232" s="38"/>
      <c r="B232" s="38"/>
      <c r="C232" s="27" t="s">
        <v>231</v>
      </c>
      <c r="D232" s="27"/>
      <c r="E232" s="27"/>
      <c r="F232" s="27"/>
      <c r="G232" s="5" t="s">
        <v>131</v>
      </c>
      <c r="H232" s="5" t="s">
        <v>50</v>
      </c>
      <c r="I232" s="10" t="s">
        <v>232</v>
      </c>
      <c r="J232" s="6" t="s">
        <v>233</v>
      </c>
      <c r="K232" s="6"/>
      <c r="L232" s="6"/>
      <c r="N232" s="5"/>
      <c r="O232" s="5"/>
    </row>
    <row r="233" spans="1:15" ht="14.4" customHeight="1" x14ac:dyDescent="0.3">
      <c r="A233" s="38"/>
      <c r="B233" s="38"/>
      <c r="C233" s="38"/>
      <c r="D233" s="38"/>
      <c r="E233" s="38"/>
      <c r="F233" s="38"/>
      <c r="G233" s="38"/>
      <c r="H233" s="5" t="s">
        <v>50</v>
      </c>
      <c r="I233" s="10" t="str">
        <f>IF(E17="Ya",0.6*E16*I221/10^3,"Tidak berlaku")</f>
        <v>Tidak berlaku</v>
      </c>
      <c r="J233" s="5" t="s">
        <v>56</v>
      </c>
      <c r="K233" s="6"/>
      <c r="L233" s="6"/>
      <c r="N233" s="5"/>
      <c r="O233" s="5"/>
    </row>
    <row r="234" spans="1:15" ht="14.4" customHeight="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N234" s="5"/>
      <c r="O234" s="5"/>
    </row>
    <row r="235" spans="1:15" x14ac:dyDescent="0.3">
      <c r="A235" s="7" t="str" cm="1">
        <f t="array" aca="1" ref="A235" ca="1">IF(AND(EXACT(M235,"SUBBAB"),SUBTOTAL(103,OFFSET(M235,0,0))),CHAR(64+SUMPRODUCT((EXACT(M$4:M235,"SUBBAB"))*SUBTOTAL(103,OFFSET(M$4,ROW(M$4:M235)-ROW(M$4),0)))),"")</f>
        <v>D</v>
      </c>
      <c r="B235" s="42" t="s">
        <v>138</v>
      </c>
      <c r="C235" s="42"/>
      <c r="D235" s="42"/>
      <c r="E235" s="42"/>
      <c r="F235" s="42"/>
      <c r="G235" s="42"/>
      <c r="H235" s="38" t="s">
        <v>139</v>
      </c>
      <c r="I235" s="38"/>
      <c r="J235" s="38"/>
      <c r="K235" s="38"/>
      <c r="L235" s="38"/>
      <c r="M235" s="5" t="s">
        <v>45</v>
      </c>
    </row>
    <row r="236" spans="1:15" x14ac:dyDescent="0.3">
      <c r="A236" s="7" t="str" cm="1">
        <f t="array" aca="1" ref="A236" ca="1">IF(AND(EXACT(M236,"SUBBAB"),SUBTOTAL(103,OFFSET(M236,0,0))),CHAR(64+SUMPRODUCT((EXACT(M$4:M236,"SUBBAB"))*SUBTOTAL(103,OFFSET(M$4,ROW(M$4:M236)-ROW(M$4),0)))),"")</f>
        <v/>
      </c>
      <c r="B236" s="7">
        <f>IF(N236="ANAK",_xlfn.AGGREGATE(2,5,$B$235:B235)+1,"")</f>
        <v>1</v>
      </c>
      <c r="C236" s="42" t="s">
        <v>234</v>
      </c>
      <c r="D236" s="42"/>
      <c r="E236" s="42"/>
      <c r="F236" s="42"/>
      <c r="G236" s="42"/>
      <c r="H236" s="6"/>
      <c r="I236" s="6"/>
      <c r="J236" s="6"/>
      <c r="K236" s="6"/>
      <c r="L236" s="6"/>
      <c r="N236" s="5" t="s">
        <v>47</v>
      </c>
      <c r="O236" s="5"/>
    </row>
    <row r="237" spans="1:15" x14ac:dyDescent="0.3">
      <c r="A237" s="38"/>
      <c r="B237" s="38"/>
      <c r="C237" s="27" t="s">
        <v>235</v>
      </c>
      <c r="D237" s="27"/>
      <c r="E237" s="6" t="s">
        <v>50</v>
      </c>
      <c r="F237" s="5" t="s">
        <v>236</v>
      </c>
      <c r="G237" s="10">
        <f>IF(I7=0,I6/E31,I7/E31)</f>
        <v>22.722453224981532</v>
      </c>
      <c r="H237" s="11" t="str">
        <f>IF(G237&lt;=I237,"£","&gt;")</f>
        <v>£</v>
      </c>
      <c r="I237" s="21">
        <f>4.71*SQRT(E38/E15)</f>
        <v>133.21891757554556</v>
      </c>
      <c r="J237" s="41" t="s">
        <v>237</v>
      </c>
      <c r="K237" s="41"/>
      <c r="N237" s="5"/>
      <c r="O237" s="5"/>
    </row>
    <row r="238" spans="1:15" x14ac:dyDescent="0.3">
      <c r="A238" s="38"/>
      <c r="B238" s="38"/>
      <c r="C238" s="38"/>
      <c r="D238" s="38"/>
      <c r="E238" s="31" t="s">
        <v>50</v>
      </c>
      <c r="F238" s="31" t="str">
        <f>IF(H237="£","Menggunakan Pers. E3-2","Menggunakan Pers. E3-3")</f>
        <v>Menggunakan Pers. E3-2</v>
      </c>
      <c r="G238" s="31"/>
      <c r="H238" s="31"/>
      <c r="I238" s="31"/>
      <c r="J238" s="31"/>
      <c r="K238" s="31"/>
      <c r="L238" s="31"/>
      <c r="N238" s="5"/>
      <c r="O238" s="5"/>
    </row>
    <row r="239" spans="1:15" ht="16.2" x14ac:dyDescent="0.3">
      <c r="A239" s="38"/>
      <c r="B239" s="38"/>
      <c r="C239" s="27" t="s">
        <v>238</v>
      </c>
      <c r="D239" s="27"/>
      <c r="E239" s="27"/>
      <c r="F239" s="27"/>
      <c r="G239" s="5" t="s">
        <v>239</v>
      </c>
      <c r="H239" s="5" t="s">
        <v>50</v>
      </c>
      <c r="I239" s="32" t="s">
        <v>240</v>
      </c>
      <c r="J239" s="6" t="s">
        <v>241</v>
      </c>
      <c r="K239" s="6"/>
      <c r="L239" s="6"/>
      <c r="N239" s="5"/>
      <c r="O239" s="5"/>
    </row>
    <row r="240" spans="1:15" x14ac:dyDescent="0.3">
      <c r="A240" s="38"/>
      <c r="B240" s="38"/>
      <c r="C240" s="38"/>
      <c r="D240" s="38"/>
      <c r="E240" s="38"/>
      <c r="F240" s="38"/>
      <c r="G240" s="38"/>
      <c r="H240" s="5" t="s">
        <v>50</v>
      </c>
      <c r="I240" s="10">
        <f>(PI()^2*E38/(IF(I7=0,I6,I7)/E31)^2)</f>
        <v>3823.1321044472047</v>
      </c>
      <c r="J240" s="6" t="s">
        <v>75</v>
      </c>
      <c r="K240" s="31"/>
      <c r="L240" s="31"/>
      <c r="N240" s="5"/>
      <c r="O240" s="5"/>
    </row>
    <row r="241" spans="1:15" ht="15.6" customHeight="1" x14ac:dyDescent="0.3">
      <c r="A241" s="38"/>
      <c r="B241" s="38"/>
      <c r="C241" s="27" t="s">
        <v>242</v>
      </c>
      <c r="D241" s="27"/>
      <c r="E241" s="27"/>
      <c r="F241" s="27"/>
      <c r="G241" s="5" t="s">
        <v>243</v>
      </c>
      <c r="H241" s="5" t="s">
        <v>50</v>
      </c>
      <c r="I241" s="31" t="str">
        <f>IF(H237="£","0,658^(Fy/Fe).Fy","0,877.Fe")</f>
        <v>0,658^(Fy/Fe).Fy</v>
      </c>
      <c r="J241" s="6" t="str">
        <f>IF(H237="£","(E3-2)","(E3-3)")</f>
        <v>(E3-2)</v>
      </c>
      <c r="K241" s="6"/>
      <c r="L241" s="6"/>
      <c r="N241" s="5"/>
      <c r="O241" s="5"/>
    </row>
    <row r="242" spans="1:15" x14ac:dyDescent="0.3">
      <c r="A242" s="38"/>
      <c r="B242" s="38"/>
      <c r="C242" s="38"/>
      <c r="D242" s="38"/>
      <c r="E242" s="38"/>
      <c r="F242" s="38"/>
      <c r="G242" s="38"/>
      <c r="H242" s="5" t="s">
        <v>50</v>
      </c>
      <c r="I242" s="10">
        <f>IF(H237="£",(0.658^(E15/I240)*E15),0.877*I240)</f>
        <v>243.25038902743094</v>
      </c>
      <c r="J242" s="6" t="s">
        <v>75</v>
      </c>
      <c r="K242" s="31"/>
      <c r="L242" s="31"/>
      <c r="N242" s="5"/>
      <c r="O242" s="5"/>
    </row>
    <row r="243" spans="1:15" ht="16.2" x14ac:dyDescent="0.3">
      <c r="A243" s="38"/>
      <c r="B243" s="38"/>
      <c r="C243" s="27" t="s">
        <v>244</v>
      </c>
      <c r="D243" s="27"/>
      <c r="E243" s="27"/>
      <c r="F243" s="27"/>
      <c r="G243" s="5" t="s">
        <v>239</v>
      </c>
      <c r="H243" s="5" t="s">
        <v>50</v>
      </c>
      <c r="I243" s="43" t="s">
        <v>245</v>
      </c>
      <c r="J243" s="43"/>
      <c r="K243" s="6" t="s">
        <v>246</v>
      </c>
      <c r="L243" s="6"/>
      <c r="N243" s="5"/>
      <c r="O243" s="5"/>
    </row>
    <row r="244" spans="1:15" x14ac:dyDescent="0.3">
      <c r="A244" s="38"/>
      <c r="B244" s="38"/>
      <c r="C244" s="38"/>
      <c r="D244" s="38"/>
      <c r="E244" s="38"/>
      <c r="F244" s="38"/>
      <c r="G244" s="38"/>
      <c r="H244" s="5" t="s">
        <v>50</v>
      </c>
      <c r="I244" s="10">
        <f>(PI()^2*E38*E42/(IF(I7=0,I6,I7))^2+(E39*E40))*(1/(E29+E30))</f>
        <v>1506.1141490005505</v>
      </c>
      <c r="J244" s="6" t="s">
        <v>75</v>
      </c>
      <c r="K244" s="31"/>
      <c r="L244" s="31"/>
      <c r="N244" s="5"/>
      <c r="O244" s="5"/>
    </row>
    <row r="245" spans="1:15" ht="15.6" customHeight="1" x14ac:dyDescent="0.3">
      <c r="A245" s="38"/>
      <c r="B245" s="38"/>
      <c r="C245" s="27" t="s">
        <v>247</v>
      </c>
      <c r="D245" s="27"/>
      <c r="E245" s="27"/>
      <c r="F245" s="27"/>
      <c r="G245" s="5" t="s">
        <v>243</v>
      </c>
      <c r="H245" s="5" t="s">
        <v>50</v>
      </c>
      <c r="I245" s="33" t="str">
        <f>I241</f>
        <v>0,658^(Fy/Fe).Fy</v>
      </c>
      <c r="J245" s="6" t="str">
        <f>J241</f>
        <v>(E3-2)</v>
      </c>
      <c r="K245" s="6"/>
      <c r="L245" s="6"/>
      <c r="N245" s="5"/>
      <c r="O245" s="5"/>
    </row>
    <row r="246" spans="1:15" x14ac:dyDescent="0.3">
      <c r="A246" s="38"/>
      <c r="B246" s="38"/>
      <c r="C246" s="38"/>
      <c r="D246" s="38"/>
      <c r="E246" s="38"/>
      <c r="F246" s="38"/>
      <c r="G246" s="38"/>
      <c r="H246" s="5" t="s">
        <v>50</v>
      </c>
      <c r="I246" s="10">
        <f>IF(H237="&lt;",(0.658^(E15/I244)*E15),0.877*I244)</f>
        <v>1320.8621086734827</v>
      </c>
      <c r="J246" s="6" t="s">
        <v>75</v>
      </c>
      <c r="K246" s="31"/>
      <c r="L246" s="31"/>
      <c r="N246" s="5"/>
      <c r="O246" s="5"/>
    </row>
    <row r="247" spans="1:15" ht="15.6" customHeight="1" x14ac:dyDescent="0.3">
      <c r="A247" s="38"/>
      <c r="B247" s="38"/>
      <c r="C247" s="27" t="s">
        <v>248</v>
      </c>
      <c r="D247" s="27"/>
      <c r="E247" s="27"/>
      <c r="F247" s="27"/>
      <c r="G247" s="5" t="s">
        <v>243</v>
      </c>
      <c r="H247" s="5" t="s">
        <v>50</v>
      </c>
      <c r="I247" s="33" t="str">
        <f>I241</f>
        <v>0,658^(Fy/Fe).Fy</v>
      </c>
      <c r="J247" s="6" t="str">
        <f>J245</f>
        <v>(E3-2)</v>
      </c>
      <c r="K247" s="6"/>
      <c r="L247" s="6"/>
    </row>
    <row r="248" spans="1:15" x14ac:dyDescent="0.3">
      <c r="A248" s="38"/>
      <c r="B248" s="38"/>
      <c r="C248" s="38"/>
      <c r="D248" s="38"/>
      <c r="E248" s="38"/>
      <c r="F248" s="38"/>
      <c r="G248" s="38"/>
      <c r="H248" s="5" t="s">
        <v>50</v>
      </c>
      <c r="I248" s="10">
        <f>IF(H237="&lt;",(0.658^(E15/I244)*E15),0.877*I244)</f>
        <v>1320.8621086734827</v>
      </c>
      <c r="J248" s="6" t="s">
        <v>75</v>
      </c>
      <c r="K248" s="31"/>
      <c r="L248" s="31"/>
    </row>
    <row r="249" spans="1:15" ht="15.6" customHeight="1" x14ac:dyDescent="0.3">
      <c r="A249" s="38"/>
      <c r="B249" s="38"/>
      <c r="C249" s="27" t="s">
        <v>249</v>
      </c>
      <c r="D249" s="27"/>
      <c r="E249" s="6" t="s">
        <v>50</v>
      </c>
      <c r="F249" s="5" t="s">
        <v>152</v>
      </c>
      <c r="G249" s="10">
        <f>I87</f>
        <v>16.666666666666668</v>
      </c>
      <c r="H249" s="11" t="str">
        <f>IF(G249&lt;=I249,"£","&gt;")</f>
        <v>£</v>
      </c>
      <c r="I249" s="21">
        <f>I89*SQRT(E15/I248)</f>
        <v>18.334645838800846</v>
      </c>
      <c r="J249" s="30" t="s">
        <v>250</v>
      </c>
      <c r="K249" s="6" t="s">
        <v>251</v>
      </c>
      <c r="L249" s="6"/>
    </row>
    <row r="250" spans="1:15" ht="14.4" customHeight="1" x14ac:dyDescent="0.3">
      <c r="A250" s="38"/>
      <c r="B250" s="38"/>
      <c r="C250" s="38"/>
      <c r="D250" s="38"/>
      <c r="E250" s="31" t="s">
        <v>50</v>
      </c>
      <c r="F250" s="31" t="str">
        <f>IF(H249="£","Menggunakan Pers. E7-2","Menggunakan Pers. E7-3")</f>
        <v>Menggunakan Pers. E7-2</v>
      </c>
      <c r="G250" s="31"/>
      <c r="H250" s="31"/>
      <c r="I250" s="31"/>
      <c r="J250" s="31"/>
      <c r="K250" s="31"/>
      <c r="L250" s="31"/>
    </row>
    <row r="251" spans="1:15" ht="14.4" customHeight="1" x14ac:dyDescent="0.3">
      <c r="A251" s="38"/>
      <c r="B251" s="38"/>
      <c r="C251" s="27" t="s">
        <v>252</v>
      </c>
      <c r="D251" s="27"/>
      <c r="E251" s="27"/>
      <c r="F251" s="27"/>
      <c r="G251" s="5" t="s">
        <v>215</v>
      </c>
      <c r="H251" s="5" t="s">
        <v>50</v>
      </c>
      <c r="I251" s="6" t="str">
        <f>IF(H249="£","bf","bf.(1-c1Ö(Fel/Fcr)).Ö(Fel/Fcr)")</f>
        <v>bf</v>
      </c>
      <c r="J251" s="6"/>
      <c r="K251" s="6"/>
      <c r="L251" s="18" t="str">
        <f>IF(H249="£","(E7-2)","(E7-3)")</f>
        <v>(E7-2)</v>
      </c>
    </row>
    <row r="252" spans="1:15" ht="14.4" customHeight="1" x14ac:dyDescent="0.3">
      <c r="A252" s="38"/>
      <c r="B252" s="38"/>
      <c r="C252" s="38"/>
      <c r="D252" s="38"/>
      <c r="E252" s="38"/>
      <c r="F252" s="38"/>
      <c r="G252" s="38"/>
      <c r="H252" s="5" t="s">
        <v>50</v>
      </c>
      <c r="I252" s="10">
        <f>IF(H249="£",E22,E22*(1-I253*SQRT(I257/I248))*SQRT(I257/I248))</f>
        <v>100</v>
      </c>
      <c r="J252" s="6"/>
      <c r="K252" s="6"/>
      <c r="L252" s="6"/>
    </row>
    <row r="253" spans="1:15" ht="15.6" customHeight="1" x14ac:dyDescent="0.3">
      <c r="A253" s="38"/>
      <c r="B253" s="38"/>
      <c r="C253" s="27" t="s">
        <v>253</v>
      </c>
      <c r="D253" s="27"/>
      <c r="E253" s="27"/>
      <c r="F253" s="27"/>
      <c r="G253" s="5" t="s">
        <v>254</v>
      </c>
      <c r="H253" s="5" t="s">
        <v>50</v>
      </c>
      <c r="I253" s="9">
        <v>0.22</v>
      </c>
      <c r="J253" s="6" t="s">
        <v>255</v>
      </c>
      <c r="K253" s="6"/>
      <c r="L253" s="6"/>
    </row>
    <row r="254" spans="1:15" ht="15.6" customHeight="1" x14ac:dyDescent="0.3">
      <c r="A254" s="38"/>
      <c r="B254" s="38"/>
      <c r="C254" s="38"/>
      <c r="D254" s="38"/>
      <c r="E254" s="38"/>
      <c r="F254" s="38"/>
      <c r="G254" s="5" t="s">
        <v>256</v>
      </c>
      <c r="H254" s="5" t="s">
        <v>50</v>
      </c>
      <c r="I254" s="15" t="s">
        <v>257</v>
      </c>
      <c r="J254" s="6" t="s">
        <v>258</v>
      </c>
      <c r="K254" s="6"/>
      <c r="L254" s="6"/>
    </row>
    <row r="255" spans="1:15" ht="14.4" customHeight="1" x14ac:dyDescent="0.3">
      <c r="A255" s="38"/>
      <c r="B255" s="38"/>
      <c r="C255" s="38"/>
      <c r="D255" s="38"/>
      <c r="E255" s="38"/>
      <c r="F255" s="38"/>
      <c r="G255" s="38"/>
      <c r="H255" s="5" t="s">
        <v>50</v>
      </c>
      <c r="I255" s="10">
        <f>1-SQRT(1-4*I253)/(2*I253)</f>
        <v>0.21270417837778299</v>
      </c>
      <c r="J255" s="37"/>
      <c r="K255" s="37"/>
      <c r="L255" s="37"/>
    </row>
    <row r="256" spans="1:15" ht="16.2" customHeight="1" x14ac:dyDescent="0.3">
      <c r="A256" s="38"/>
      <c r="B256" s="38"/>
      <c r="C256" s="27" t="s">
        <v>259</v>
      </c>
      <c r="D256" s="27"/>
      <c r="E256" s="27"/>
      <c r="F256" s="27"/>
      <c r="G256" s="5" t="s">
        <v>260</v>
      </c>
      <c r="H256" s="5" t="s">
        <v>50</v>
      </c>
      <c r="I256" s="20" t="s">
        <v>261</v>
      </c>
      <c r="J256" s="6" t="s">
        <v>262</v>
      </c>
      <c r="K256" s="6"/>
      <c r="L256" s="6"/>
    </row>
    <row r="257" spans="1:15" ht="14.4" customHeight="1" x14ac:dyDescent="0.3">
      <c r="A257" s="38"/>
      <c r="B257" s="38"/>
      <c r="C257" s="38"/>
      <c r="D257" s="38"/>
      <c r="E257" s="38"/>
      <c r="F257" s="38"/>
      <c r="G257" s="38"/>
      <c r="H257" s="5" t="s">
        <v>50</v>
      </c>
      <c r="I257" s="10">
        <f>(I255*I89/I87)^2*E15</f>
        <v>72.319776591849333</v>
      </c>
      <c r="J257" s="6" t="s">
        <v>75</v>
      </c>
      <c r="K257" s="31"/>
      <c r="L257" s="31"/>
    </row>
    <row r="258" spans="1:15" ht="15.6" customHeight="1" x14ac:dyDescent="0.3">
      <c r="A258" s="38"/>
      <c r="B258" s="38"/>
      <c r="C258" s="27" t="s">
        <v>263</v>
      </c>
      <c r="D258" s="27"/>
      <c r="E258" s="27"/>
      <c r="F258" s="27"/>
      <c r="G258" s="5" t="s">
        <v>208</v>
      </c>
      <c r="H258" s="5" t="s">
        <v>50</v>
      </c>
      <c r="I258" s="20" t="s">
        <v>264</v>
      </c>
      <c r="J258" s="6" t="s">
        <v>251</v>
      </c>
      <c r="K258" s="6"/>
      <c r="L258" s="6"/>
    </row>
    <row r="259" spans="1:15" ht="16.2" customHeight="1" x14ac:dyDescent="0.3">
      <c r="A259" s="38"/>
      <c r="B259" s="38"/>
      <c r="C259" s="38"/>
      <c r="D259" s="38"/>
      <c r="E259" s="38"/>
      <c r="F259" s="38"/>
      <c r="G259" s="38"/>
      <c r="H259" s="5" t="s">
        <v>50</v>
      </c>
      <c r="I259" s="10">
        <f>E27-((E22-I252)*E23)</f>
        <v>2189.8407346410208</v>
      </c>
      <c r="J259" s="6" t="s">
        <v>89</v>
      </c>
      <c r="K259" s="31"/>
      <c r="L259" s="31"/>
    </row>
    <row r="260" spans="1:15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N260" s="5"/>
      <c r="O260" s="5"/>
    </row>
    <row r="261" spans="1:15" ht="15.6" customHeight="1" x14ac:dyDescent="0.3">
      <c r="A261" s="7" t="str" cm="1">
        <f t="array" aca="1" ref="A261" ca="1">IF(AND(EXACT(M261,"SUBBAB"),SUBTOTAL(103,OFFSET(M261,0,0))),CHAR(64+SUMPRODUCT((EXACT(M$4:M261,"SUBBAB"))*SUBTOTAL(103,OFFSET(M$4,ROW(M$4:M261)-ROW(M$4),0)))),"")</f>
        <v/>
      </c>
      <c r="B261" s="7">
        <f>IF(N261="ANAK",_xlfn.AGGREGATE(2,5,$B$235:B260)+1,"")</f>
        <v>2</v>
      </c>
      <c r="C261" s="42" t="s">
        <v>265</v>
      </c>
      <c r="D261" s="42"/>
      <c r="E261" s="42"/>
      <c r="F261" s="42"/>
      <c r="G261" s="42"/>
      <c r="H261" s="6" t="s">
        <v>266</v>
      </c>
      <c r="I261" s="6"/>
      <c r="J261" s="6"/>
      <c r="K261" s="6"/>
      <c r="L261" s="6"/>
      <c r="N261" s="5" t="s">
        <v>47</v>
      </c>
      <c r="O261" s="5"/>
    </row>
    <row r="262" spans="1:15" ht="15.6" customHeight="1" x14ac:dyDescent="0.3">
      <c r="A262" s="38"/>
      <c r="B262" s="38"/>
      <c r="C262" s="27" t="s">
        <v>267</v>
      </c>
      <c r="D262" s="27"/>
      <c r="E262" s="27"/>
      <c r="F262" s="27"/>
      <c r="G262" s="5" t="s">
        <v>131</v>
      </c>
      <c r="H262" s="5" t="s">
        <v>50</v>
      </c>
      <c r="I262" s="5" t="s">
        <v>268</v>
      </c>
      <c r="J262" s="6" t="s">
        <v>269</v>
      </c>
      <c r="K262" s="6"/>
      <c r="L262" s="6"/>
      <c r="N262" s="5"/>
      <c r="O262" s="5"/>
    </row>
    <row r="263" spans="1:15" x14ac:dyDescent="0.3">
      <c r="A263" s="38"/>
      <c r="B263" s="38"/>
      <c r="C263" s="38"/>
      <c r="D263" s="38"/>
      <c r="E263" s="38"/>
      <c r="F263" s="38"/>
      <c r="G263" s="38"/>
      <c r="H263" s="5" t="s">
        <v>50</v>
      </c>
      <c r="I263" s="10">
        <f>I242*E27/10^3</f>
        <v>532.67961060954349</v>
      </c>
      <c r="J263" s="6" t="s">
        <v>56</v>
      </c>
      <c r="K263" s="6"/>
      <c r="L263" s="6"/>
      <c r="N263" s="5"/>
      <c r="O263" s="5"/>
    </row>
    <row r="264" spans="1:15" ht="15.6" customHeight="1" x14ac:dyDescent="0.3">
      <c r="A264" s="38"/>
      <c r="B264" s="38"/>
      <c r="C264" s="27" t="s">
        <v>270</v>
      </c>
      <c r="D264" s="27"/>
      <c r="E264" s="27"/>
      <c r="F264" s="27"/>
      <c r="G264" s="5" t="s">
        <v>131</v>
      </c>
      <c r="H264" s="5" t="s">
        <v>50</v>
      </c>
      <c r="I264" s="5" t="s">
        <v>268</v>
      </c>
      <c r="J264" s="6" t="s">
        <v>271</v>
      </c>
      <c r="K264" s="6"/>
      <c r="L264" s="6"/>
      <c r="N264" s="5"/>
      <c r="O264" s="5"/>
    </row>
    <row r="265" spans="1:15" x14ac:dyDescent="0.3">
      <c r="A265" s="38"/>
      <c r="B265" s="38"/>
      <c r="C265" s="38"/>
      <c r="D265" s="38"/>
      <c r="E265" s="38"/>
      <c r="F265" s="38"/>
      <c r="G265" s="38"/>
      <c r="H265" s="5" t="s">
        <v>50</v>
      </c>
      <c r="I265" s="10">
        <f>I246*E27/10^3</f>
        <v>2892.4776504170272</v>
      </c>
      <c r="J265" s="6" t="s">
        <v>56</v>
      </c>
      <c r="K265" s="6"/>
      <c r="L265" s="6"/>
      <c r="N265" s="5"/>
      <c r="O265" s="5"/>
    </row>
    <row r="266" spans="1:15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N266" s="5"/>
      <c r="O266" s="5"/>
    </row>
    <row r="267" spans="1:15" ht="14.4" customHeight="1" x14ac:dyDescent="0.3">
      <c r="A267" s="7" t="str" cm="1">
        <f t="array" aca="1" ref="A267" ca="1">IF(AND(EXACT(M267,"SUBBAB"),SUBTOTAL(103,OFFSET(M267,0,0))),CHAR(64+SUMPRODUCT((EXACT(M$4:M267,"SUBBAB"))*SUBTOTAL(103,OFFSET(M$4,ROW(M$4:M267)-ROW(M$4),0)))),"")</f>
        <v/>
      </c>
      <c r="B267" s="7">
        <f>IF(N267="ANAK",_xlfn.AGGREGATE(2,5,$B$235:B266)+1,"")</f>
        <v>3</v>
      </c>
      <c r="C267" s="42" t="s">
        <v>272</v>
      </c>
      <c r="D267" s="42"/>
      <c r="E267" s="42"/>
      <c r="F267" s="42"/>
      <c r="G267" s="6"/>
      <c r="I267" s="6"/>
      <c r="J267" s="6"/>
      <c r="K267" s="6"/>
      <c r="L267" s="6"/>
      <c r="N267" s="5" t="s">
        <v>47</v>
      </c>
      <c r="O267" s="5"/>
    </row>
    <row r="268" spans="1:15" ht="15.6" customHeight="1" x14ac:dyDescent="0.3">
      <c r="A268" s="38"/>
      <c r="B268" s="38"/>
      <c r="C268" s="27" t="s">
        <v>267</v>
      </c>
      <c r="D268" s="27"/>
      <c r="E268" s="27"/>
      <c r="F268" s="27"/>
      <c r="G268" s="5" t="s">
        <v>131</v>
      </c>
      <c r="H268" s="5" t="s">
        <v>50</v>
      </c>
      <c r="I268" s="5" t="s">
        <v>273</v>
      </c>
      <c r="J268" s="6" t="s">
        <v>251</v>
      </c>
      <c r="K268" s="6"/>
      <c r="L268" s="6"/>
      <c r="N268" s="5"/>
      <c r="O268" s="5"/>
    </row>
    <row r="269" spans="1:15" ht="14.4" customHeight="1" x14ac:dyDescent="0.3">
      <c r="A269" s="38"/>
      <c r="B269" s="38"/>
      <c r="C269" s="38"/>
      <c r="D269" s="38"/>
      <c r="E269" s="38"/>
      <c r="F269" s="38"/>
      <c r="G269" s="38"/>
      <c r="H269" s="5" t="s">
        <v>50</v>
      </c>
      <c r="I269" s="10" t="str">
        <f>IF(OR(F83="Penampang Langsing",F91="Penampang Langsing"),I242*I259/10^3,"Tidak berlaku")</f>
        <v>Tidak berlaku</v>
      </c>
      <c r="J269" s="6" t="s">
        <v>56</v>
      </c>
      <c r="K269" s="6"/>
      <c r="L269" s="6"/>
      <c r="N269" s="5"/>
      <c r="O269" s="5"/>
    </row>
    <row r="270" spans="1:15" ht="15.6" customHeight="1" x14ac:dyDescent="0.3">
      <c r="A270" s="38"/>
      <c r="B270" s="38"/>
      <c r="C270" s="27" t="s">
        <v>270</v>
      </c>
      <c r="D270" s="27"/>
      <c r="E270" s="27"/>
      <c r="F270" s="27"/>
      <c r="G270" s="5" t="s">
        <v>131</v>
      </c>
      <c r="H270" s="5" t="s">
        <v>50</v>
      </c>
      <c r="I270" s="5" t="s">
        <v>273</v>
      </c>
      <c r="J270" s="6" t="s">
        <v>251</v>
      </c>
      <c r="K270" s="6"/>
      <c r="L270" s="6"/>
      <c r="N270" s="5"/>
      <c r="O270" s="5"/>
    </row>
    <row r="271" spans="1:15" ht="14.4" customHeight="1" x14ac:dyDescent="0.3">
      <c r="A271" s="38"/>
      <c r="B271" s="38"/>
      <c r="C271" s="38"/>
      <c r="D271" s="38"/>
      <c r="E271" s="38"/>
      <c r="F271" s="38"/>
      <c r="G271" s="38"/>
      <c r="H271" s="5" t="s">
        <v>50</v>
      </c>
      <c r="I271" s="10" t="str">
        <f>IF(OR(F83="Penampang Langsing",F91="Penampang Langsing"),I246*I259/10^3,"Tidak berlaku")</f>
        <v>Tidak berlaku</v>
      </c>
      <c r="J271" s="6" t="s">
        <v>56</v>
      </c>
      <c r="K271" s="6"/>
      <c r="L271" s="6"/>
      <c r="N271" s="5"/>
      <c r="O271" s="5"/>
    </row>
    <row r="272" spans="1:15" ht="15.6" customHeight="1" x14ac:dyDescent="0.3">
      <c r="A272" s="38"/>
      <c r="B272" s="38"/>
      <c r="C272" s="27" t="s">
        <v>274</v>
      </c>
      <c r="D272" s="27"/>
      <c r="E272" s="27"/>
      <c r="F272" s="27"/>
      <c r="G272" s="5" t="s">
        <v>131</v>
      </c>
      <c r="H272" s="5" t="s">
        <v>50</v>
      </c>
      <c r="I272" s="5" t="s">
        <v>273</v>
      </c>
      <c r="J272" s="6" t="s">
        <v>251</v>
      </c>
      <c r="K272" s="6"/>
      <c r="L272" s="6"/>
    </row>
    <row r="273" spans="1:15" ht="14.4" customHeight="1" x14ac:dyDescent="0.3">
      <c r="A273" s="38"/>
      <c r="B273" s="38"/>
      <c r="C273" s="38"/>
      <c r="D273" s="38"/>
      <c r="E273" s="38"/>
      <c r="F273" s="38"/>
      <c r="G273" s="38"/>
      <c r="H273" s="5" t="s">
        <v>50</v>
      </c>
      <c r="I273" s="10" t="str">
        <f>IF(OR(F83="Penampang Langsing",F91="Penampang Langsing"),I248*I259/10^3,"Tidak berlaku")</f>
        <v>Tidak berlaku</v>
      </c>
      <c r="J273" s="6" t="s">
        <v>56</v>
      </c>
      <c r="K273" s="6"/>
      <c r="L273" s="6"/>
    </row>
    <row r="274" spans="1:15" ht="14.4" customHeight="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</row>
    <row r="275" spans="1:15" x14ac:dyDescent="0.3">
      <c r="A275" s="7" t="str" cm="1">
        <f t="array" aca="1" ref="A275" ca="1">IF(AND(EXACT(M275,"SUBBAB"),SUBTOTAL(103,OFFSET(M275,0,0))),CHAR(64+SUMPRODUCT((EXACT(M$4:M275,"SUBBAB"))*SUBTOTAL(103,OFFSET(M$4,ROW(M$4:M275)-ROW(M$4),0)))),"")</f>
        <v>E</v>
      </c>
      <c r="B275" s="42" t="s">
        <v>275</v>
      </c>
      <c r="C275" s="42"/>
      <c r="D275" s="42"/>
      <c r="E275" s="42"/>
      <c r="F275" s="42"/>
      <c r="G275" s="42"/>
      <c r="H275" s="38" t="s">
        <v>159</v>
      </c>
      <c r="I275" s="38"/>
      <c r="J275" s="38"/>
      <c r="K275" s="38"/>
      <c r="L275" s="38"/>
      <c r="M275" s="5" t="s">
        <v>45</v>
      </c>
    </row>
    <row r="276" spans="1:15" x14ac:dyDescent="0.3">
      <c r="A276" s="7" t="str" cm="1">
        <f t="array" aca="1" ref="A276" ca="1">IF(AND(EXACT(M276,"SUBBAB"),SUBTOTAL(103,OFFSET(M276,0,0))),CHAR(64+SUMPRODUCT((EXACT(M$4:M276,"SUBBAB"))*SUBTOTAL(103,OFFSET(M$4,ROW(M$4:M276)-ROW(M$4),0)))),"")</f>
        <v/>
      </c>
      <c r="B276" s="7">
        <f>IF(N276="ANAK",_xlfn.AGGREGATE(2,5,$B274:B$275)+1,"")</f>
        <v>1</v>
      </c>
      <c r="C276" s="42" t="s">
        <v>276</v>
      </c>
      <c r="D276" s="42"/>
      <c r="E276" s="42"/>
      <c r="F276" s="42"/>
      <c r="G276" s="42"/>
      <c r="H276" s="6"/>
      <c r="I276" s="6"/>
      <c r="J276" s="6"/>
      <c r="K276" s="6"/>
      <c r="L276" s="6"/>
      <c r="N276" s="5" t="s">
        <v>47</v>
      </c>
      <c r="O276" s="5"/>
    </row>
    <row r="277" spans="1:15" ht="15.6" customHeight="1" x14ac:dyDescent="0.3">
      <c r="A277" s="38"/>
      <c r="B277" s="38"/>
      <c r="C277" s="6" t="s">
        <v>277</v>
      </c>
      <c r="D277" s="6"/>
      <c r="E277" s="6"/>
      <c r="F277" s="6"/>
      <c r="G277" s="5" t="s">
        <v>278</v>
      </c>
      <c r="H277" s="5" t="s">
        <v>50</v>
      </c>
      <c r="I277" s="34" t="s">
        <v>279</v>
      </c>
      <c r="J277" s="6" t="s">
        <v>280</v>
      </c>
      <c r="K277" s="6"/>
      <c r="L277" s="6"/>
    </row>
    <row r="278" spans="1:15" x14ac:dyDescent="0.3">
      <c r="A278" s="38"/>
      <c r="B278" s="38"/>
      <c r="C278" s="38"/>
      <c r="D278" s="38"/>
      <c r="E278" s="38"/>
      <c r="F278" s="38"/>
      <c r="G278" s="38"/>
      <c r="H278" s="5" t="s">
        <v>50</v>
      </c>
      <c r="I278" s="10">
        <f>SQRT(SQRT(E30*E42)/E33)</f>
        <v>26.770548444128035</v>
      </c>
      <c r="J278" s="6" t="s">
        <v>3</v>
      </c>
      <c r="K278" s="6"/>
      <c r="L278" s="6"/>
    </row>
    <row r="279" spans="1:15" ht="15.6" customHeight="1" x14ac:dyDescent="0.3">
      <c r="A279" s="38"/>
      <c r="B279" s="38"/>
      <c r="C279" s="6" t="s">
        <v>281</v>
      </c>
      <c r="D279" s="6"/>
      <c r="E279" s="6"/>
      <c r="F279" s="6"/>
      <c r="G279" s="5" t="s">
        <v>282</v>
      </c>
      <c r="H279" s="5" t="s">
        <v>50</v>
      </c>
      <c r="I279" s="9">
        <v>1</v>
      </c>
      <c r="J279" s="6" t="s">
        <v>283</v>
      </c>
      <c r="K279" s="6"/>
      <c r="L279" s="6"/>
    </row>
    <row r="280" spans="1:15" x14ac:dyDescent="0.3">
      <c r="A280" s="38"/>
      <c r="B280" s="38"/>
      <c r="C280" s="6" t="s">
        <v>284</v>
      </c>
      <c r="D280" s="6"/>
      <c r="E280" s="6"/>
      <c r="F280" s="6"/>
      <c r="G280" s="5" t="s">
        <v>285</v>
      </c>
      <c r="H280" s="5" t="s">
        <v>50</v>
      </c>
      <c r="I280" s="10">
        <f>IF(I7=0,I6,I7)</f>
        <v>1000</v>
      </c>
      <c r="J280" s="6" t="s">
        <v>3</v>
      </c>
      <c r="K280" s="6"/>
      <c r="L280" s="6"/>
    </row>
    <row r="281" spans="1:15" ht="15.6" customHeight="1" x14ac:dyDescent="0.3">
      <c r="A281" s="38"/>
      <c r="B281" s="38"/>
      <c r="C281" s="6" t="s">
        <v>286</v>
      </c>
      <c r="D281" s="6"/>
      <c r="E281" s="6"/>
      <c r="F281" s="6"/>
      <c r="G281" s="5" t="s">
        <v>287</v>
      </c>
      <c r="H281" s="5" t="s">
        <v>50</v>
      </c>
      <c r="I281" s="30" t="s">
        <v>288</v>
      </c>
      <c r="J281" s="6" t="s">
        <v>289</v>
      </c>
      <c r="K281" s="6"/>
      <c r="L281" s="6"/>
    </row>
    <row r="282" spans="1:15" x14ac:dyDescent="0.3">
      <c r="A282" s="38"/>
      <c r="B282" s="38"/>
      <c r="C282" s="6" t="s">
        <v>290</v>
      </c>
      <c r="D282" s="6"/>
      <c r="E282" s="6"/>
      <c r="F282" s="6"/>
      <c r="H282" s="5" t="s">
        <v>50</v>
      </c>
      <c r="I282" s="10">
        <f>1.76*E32*SQRT(E38/E15)</f>
        <v>1229.0424124783144</v>
      </c>
      <c r="J282" s="6" t="s">
        <v>3</v>
      </c>
      <c r="K282" s="6"/>
      <c r="L282" s="6"/>
    </row>
    <row r="283" spans="1:15" ht="15.6" customHeight="1" x14ac:dyDescent="0.3">
      <c r="A283" s="38"/>
      <c r="B283" s="38"/>
      <c r="C283" s="6" t="s">
        <v>291</v>
      </c>
      <c r="D283" s="6"/>
      <c r="E283" s="6"/>
      <c r="F283" s="6"/>
      <c r="G283" s="5" t="s">
        <v>292</v>
      </c>
      <c r="H283" s="5" t="s">
        <v>50</v>
      </c>
      <c r="I283" s="37" t="s">
        <v>293</v>
      </c>
      <c r="J283" s="37"/>
      <c r="K283" s="6" t="s">
        <v>294</v>
      </c>
      <c r="L283" s="6"/>
    </row>
    <row r="284" spans="1:15" ht="16.2" x14ac:dyDescent="0.3">
      <c r="A284" s="38"/>
      <c r="B284" s="38"/>
      <c r="C284" s="6" t="s">
        <v>290</v>
      </c>
      <c r="D284" s="6"/>
      <c r="E284" s="6"/>
      <c r="F284" s="6"/>
      <c r="I284" s="45" t="s">
        <v>295</v>
      </c>
      <c r="J284" s="37"/>
      <c r="K284" s="37"/>
      <c r="L284" s="37"/>
    </row>
    <row r="285" spans="1:15" x14ac:dyDescent="0.3">
      <c r="A285" s="38"/>
      <c r="B285" s="38"/>
      <c r="C285" s="38"/>
      <c r="D285" s="38"/>
      <c r="E285" s="38"/>
      <c r="F285" s="38"/>
      <c r="G285" s="38"/>
      <c r="H285" s="5" t="s">
        <v>50</v>
      </c>
      <c r="I285" s="10">
        <f>1.95*I278*(E38/(0.7*E15))*(SQRT((E40*I279/(E33*E26))+SQRT((E40*I279/(E33*E26))^2+6.76*(0.7*E15/E38)^2)))</f>
        <v>6047.8816390206384</v>
      </c>
      <c r="J285" s="6" t="s">
        <v>3</v>
      </c>
      <c r="K285" s="6"/>
      <c r="L285" s="6"/>
    </row>
    <row r="286" spans="1:15" ht="16.2" x14ac:dyDescent="0.3">
      <c r="A286" s="38"/>
      <c r="B286" s="38"/>
      <c r="C286" s="6" t="s">
        <v>296</v>
      </c>
      <c r="D286" s="6"/>
      <c r="E286" s="6"/>
      <c r="F286" s="6"/>
      <c r="G286" s="5" t="s">
        <v>243</v>
      </c>
      <c r="H286" s="5" t="s">
        <v>50</v>
      </c>
      <c r="I286" s="6" t="s">
        <v>297</v>
      </c>
      <c r="J286" s="6"/>
      <c r="K286" s="6"/>
      <c r="L286" s="18" t="s">
        <v>298</v>
      </c>
    </row>
    <row r="287" spans="1:15" ht="16.2" x14ac:dyDescent="0.3">
      <c r="A287" s="38"/>
      <c r="B287" s="38"/>
      <c r="C287" s="38"/>
      <c r="D287" s="38"/>
      <c r="E287" s="38"/>
      <c r="F287" s="38"/>
      <c r="G287" s="38"/>
      <c r="H287" s="38"/>
      <c r="I287" s="45" t="s">
        <v>299</v>
      </c>
      <c r="J287" s="37"/>
      <c r="K287" s="37"/>
    </row>
    <row r="288" spans="1:15" x14ac:dyDescent="0.3">
      <c r="A288" s="38"/>
      <c r="B288" s="38"/>
      <c r="C288" s="38"/>
      <c r="D288" s="38"/>
      <c r="E288" s="38"/>
      <c r="F288" s="38"/>
      <c r="G288" s="38"/>
      <c r="H288" s="5" t="s">
        <v>50</v>
      </c>
      <c r="I288" s="10">
        <f>1*PI()^2*E38/(I280/I278)^2*SQRT(1+0.078*E40*I279/(E33*E26)*(I280/I278)^2)</f>
        <v>1750.8469738258952</v>
      </c>
      <c r="J288" s="6" t="s">
        <v>75</v>
      </c>
      <c r="K288" s="6"/>
      <c r="L288" s="6"/>
    </row>
    <row r="289" spans="1:12" ht="15.6" customHeight="1" x14ac:dyDescent="0.3">
      <c r="A289" s="38"/>
      <c r="B289" s="38"/>
      <c r="C289" s="6" t="s">
        <v>300</v>
      </c>
      <c r="D289" s="6"/>
      <c r="E289" s="6"/>
      <c r="F289" s="6"/>
      <c r="G289" s="5" t="s">
        <v>301</v>
      </c>
      <c r="H289" s="5" t="s">
        <v>50</v>
      </c>
      <c r="I289" s="10">
        <v>0.35</v>
      </c>
      <c r="J289" s="6" t="s">
        <v>302</v>
      </c>
      <c r="K289" s="6"/>
      <c r="L289" s="6"/>
    </row>
    <row r="290" spans="1:12" ht="15.6" customHeight="1" x14ac:dyDescent="0.3">
      <c r="A290" s="38"/>
      <c r="B290" s="38"/>
      <c r="C290" s="6" t="s">
        <v>303</v>
      </c>
      <c r="D290" s="6"/>
      <c r="E290" s="6"/>
      <c r="F290" s="6"/>
      <c r="G290" s="5" t="s">
        <v>304</v>
      </c>
      <c r="H290" s="5" t="s">
        <v>50</v>
      </c>
      <c r="I290" s="10">
        <v>0.76</v>
      </c>
      <c r="J290" s="6" t="s">
        <v>302</v>
      </c>
      <c r="K290" s="6"/>
      <c r="L290" s="6"/>
    </row>
    <row r="291" spans="1:12" ht="15.6" customHeight="1" x14ac:dyDescent="0.3">
      <c r="A291" s="38"/>
      <c r="B291" s="38"/>
      <c r="C291" s="6" t="s">
        <v>305</v>
      </c>
      <c r="D291" s="6"/>
      <c r="E291" s="6"/>
      <c r="F291" s="6"/>
      <c r="G291" s="5" t="s">
        <v>306</v>
      </c>
      <c r="H291" s="5" t="s">
        <v>50</v>
      </c>
      <c r="I291" s="30" t="s">
        <v>307</v>
      </c>
      <c r="J291" s="6" t="s">
        <v>302</v>
      </c>
      <c r="K291" s="6"/>
      <c r="L291" s="6"/>
    </row>
    <row r="292" spans="1:12" ht="14.4" customHeight="1" x14ac:dyDescent="0.3">
      <c r="A292" s="38"/>
      <c r="B292" s="38"/>
      <c r="C292" s="38"/>
      <c r="D292" s="38"/>
      <c r="E292" s="38"/>
      <c r="F292" s="38"/>
      <c r="G292" s="38"/>
      <c r="H292" s="5" t="s">
        <v>50</v>
      </c>
      <c r="I292" s="10">
        <f>4/SQRT(I87)</f>
        <v>0.9797958971132712</v>
      </c>
      <c r="J292" s="6"/>
      <c r="K292" s="6"/>
      <c r="L292" s="6"/>
    </row>
    <row r="293" spans="1:12" ht="15.6" customHeight="1" x14ac:dyDescent="0.3">
      <c r="A293" s="38"/>
      <c r="B293" s="38"/>
      <c r="C293" s="6" t="s">
        <v>308</v>
      </c>
      <c r="D293" s="6"/>
      <c r="E293" s="6"/>
      <c r="F293" s="6"/>
      <c r="G293" s="5" t="s">
        <v>306</v>
      </c>
      <c r="H293" s="5" t="s">
        <v>50</v>
      </c>
      <c r="I293" s="10">
        <f>IF(I292&lt;=I289,I289,IF(I292&lt;=I290,I292,I290))</f>
        <v>0.76</v>
      </c>
      <c r="J293" s="6" t="s">
        <v>302</v>
      </c>
      <c r="K293" s="6"/>
      <c r="L293" s="6"/>
    </row>
    <row r="294" spans="1:12" ht="15.6" customHeight="1" x14ac:dyDescent="0.3">
      <c r="A294" s="38"/>
      <c r="B294" s="38"/>
      <c r="C294" s="6" t="s">
        <v>309</v>
      </c>
      <c r="D294" s="6"/>
      <c r="E294" s="6"/>
      <c r="F294" s="6"/>
      <c r="G294" s="5" t="s">
        <v>310</v>
      </c>
      <c r="H294" s="5" t="s">
        <v>50</v>
      </c>
      <c r="I294" s="10" t="s">
        <v>311</v>
      </c>
      <c r="J294" s="6" t="s">
        <v>312</v>
      </c>
      <c r="K294" s="6"/>
      <c r="L294" s="6"/>
    </row>
    <row r="295" spans="1:12" ht="14.4" customHeight="1" x14ac:dyDescent="0.3">
      <c r="A295" s="38"/>
      <c r="B295" s="38"/>
      <c r="C295" s="38"/>
      <c r="D295" s="38"/>
      <c r="E295" s="38"/>
      <c r="F295" s="38"/>
      <c r="G295" s="38"/>
      <c r="H295" s="5" t="s">
        <v>50</v>
      </c>
      <c r="I295" s="10">
        <f>E22/SQRT(12*(1+I297/6))</f>
        <v>27.338327590690408</v>
      </c>
      <c r="J295" s="6" t="s">
        <v>3</v>
      </c>
      <c r="K295" s="6"/>
      <c r="L295" s="6"/>
    </row>
    <row r="296" spans="1:12" ht="15.6" customHeight="1" x14ac:dyDescent="0.3">
      <c r="A296" s="38"/>
      <c r="B296" s="38"/>
      <c r="C296" s="6" t="s">
        <v>313</v>
      </c>
      <c r="D296" s="6"/>
      <c r="E296" s="6"/>
      <c r="F296" s="6"/>
      <c r="G296" s="5" t="s">
        <v>314</v>
      </c>
      <c r="H296" s="5" t="s">
        <v>50</v>
      </c>
      <c r="I296" s="10" t="s">
        <v>315</v>
      </c>
      <c r="J296" s="6" t="s">
        <v>316</v>
      </c>
      <c r="K296" s="6"/>
      <c r="L296" s="6"/>
    </row>
    <row r="297" spans="1:12" ht="14.4" customHeight="1" x14ac:dyDescent="0.3">
      <c r="A297" s="38"/>
      <c r="B297" s="38"/>
      <c r="C297" s="38"/>
      <c r="D297" s="38"/>
      <c r="E297" s="38"/>
      <c r="F297" s="38"/>
      <c r="G297" s="38"/>
      <c r="H297" s="5" t="s">
        <v>50</v>
      </c>
      <c r="I297" s="10">
        <f>E26*E23/(E22*E24)</f>
        <v>0.69</v>
      </c>
      <c r="J297" s="6"/>
      <c r="K297" s="6"/>
      <c r="L297" s="6"/>
    </row>
    <row r="298" spans="1:12" ht="15.6" customHeight="1" x14ac:dyDescent="0.3">
      <c r="A298" s="38"/>
      <c r="B298" s="38"/>
      <c r="C298" s="6" t="s">
        <v>286</v>
      </c>
      <c r="D298" s="6"/>
      <c r="E298" s="6"/>
      <c r="F298" s="6"/>
      <c r="G298" s="5" t="s">
        <v>287</v>
      </c>
      <c r="H298" s="5" t="s">
        <v>50</v>
      </c>
      <c r="I298" s="30" t="s">
        <v>317</v>
      </c>
      <c r="J298" s="6" t="s">
        <v>318</v>
      </c>
      <c r="K298" s="6"/>
      <c r="L298" s="6"/>
    </row>
    <row r="299" spans="1:12" ht="14.4" customHeight="1" x14ac:dyDescent="0.3">
      <c r="A299" s="38"/>
      <c r="B299" s="38"/>
      <c r="C299" s="6" t="s">
        <v>319</v>
      </c>
      <c r="D299" s="6"/>
      <c r="E299" s="6"/>
      <c r="F299" s="6"/>
      <c r="H299" s="5" t="s">
        <v>50</v>
      </c>
      <c r="I299" s="10">
        <f>1.1*I295*SQRT(E38/E15)</f>
        <v>850.5691403297651</v>
      </c>
      <c r="J299" s="6" t="s">
        <v>3</v>
      </c>
      <c r="K299" s="6"/>
      <c r="L299" s="6"/>
    </row>
    <row r="300" spans="1:12" ht="15.6" customHeight="1" x14ac:dyDescent="0.3">
      <c r="A300" s="38"/>
      <c r="B300" s="38"/>
      <c r="C300" s="6" t="s">
        <v>291</v>
      </c>
      <c r="D300" s="6"/>
      <c r="E300" s="6"/>
      <c r="F300" s="6"/>
      <c r="G300" s="5" t="s">
        <v>292</v>
      </c>
      <c r="H300" s="5" t="s">
        <v>50</v>
      </c>
      <c r="I300" s="37" t="s">
        <v>320</v>
      </c>
      <c r="J300" s="37"/>
      <c r="K300" s="6" t="s">
        <v>321</v>
      </c>
      <c r="L300" s="6"/>
    </row>
    <row r="301" spans="1:12" ht="14.4" customHeight="1" x14ac:dyDescent="0.3">
      <c r="A301" s="38"/>
      <c r="B301" s="38"/>
      <c r="C301" s="6" t="s">
        <v>319</v>
      </c>
      <c r="D301" s="6"/>
      <c r="E301" s="6"/>
      <c r="F301" s="6"/>
      <c r="G301" s="6"/>
      <c r="H301" s="6"/>
      <c r="I301" s="45" t="s">
        <v>322</v>
      </c>
      <c r="J301" s="37"/>
      <c r="K301" s="37"/>
      <c r="L301" s="37"/>
    </row>
    <row r="302" spans="1:12" ht="14.4" customHeight="1" x14ac:dyDescent="0.3">
      <c r="A302" s="38"/>
      <c r="B302" s="38"/>
      <c r="C302" s="38"/>
      <c r="D302" s="38"/>
      <c r="E302" s="38"/>
      <c r="F302" s="38"/>
      <c r="G302" s="38"/>
      <c r="H302" s="5" t="s">
        <v>50</v>
      </c>
      <c r="I302" s="10">
        <f>1.95*I295*(E38/(I304))*(SQRT((E40/(E33*E26))+SQRT((E40/(E33*E26))^2+6.76*(I304/E38)^2)))</f>
        <v>6176.1517446062635</v>
      </c>
      <c r="J302" s="6" t="s">
        <v>3</v>
      </c>
      <c r="K302" s="6"/>
      <c r="L302" s="6"/>
    </row>
    <row r="303" spans="1:12" ht="15.6" customHeight="1" x14ac:dyDescent="0.3">
      <c r="A303" s="38"/>
      <c r="B303" s="38"/>
      <c r="C303" s="6" t="s">
        <v>323</v>
      </c>
      <c r="D303" s="6"/>
      <c r="E303" s="6"/>
      <c r="F303" s="6"/>
      <c r="G303" s="5" t="s">
        <v>324</v>
      </c>
      <c r="H303" s="5" t="s">
        <v>50</v>
      </c>
      <c r="I303" s="10" t="s">
        <v>325</v>
      </c>
      <c r="J303" s="6" t="s">
        <v>326</v>
      </c>
      <c r="K303" s="6"/>
      <c r="L303" s="6"/>
    </row>
    <row r="304" spans="1:12" x14ac:dyDescent="0.3">
      <c r="A304" s="38"/>
      <c r="B304" s="38"/>
      <c r="C304" s="38"/>
      <c r="D304" s="38"/>
      <c r="E304" s="38"/>
      <c r="F304" s="38"/>
      <c r="G304" s="38"/>
      <c r="H304" s="5" t="s">
        <v>50</v>
      </c>
      <c r="I304" s="10">
        <f>0.7*E15</f>
        <v>175</v>
      </c>
      <c r="J304" s="6" t="s">
        <v>75</v>
      </c>
      <c r="K304" s="6"/>
      <c r="L304" s="6"/>
    </row>
    <row r="305" spans="1:12" ht="14.4" customHeight="1" x14ac:dyDescent="0.3">
      <c r="A305" s="38"/>
      <c r="B305" s="38"/>
      <c r="C305" s="6" t="s">
        <v>327</v>
      </c>
      <c r="D305" s="6"/>
      <c r="E305" s="6"/>
      <c r="F305" s="6"/>
      <c r="G305" s="5" t="s">
        <v>243</v>
      </c>
      <c r="H305" s="5" t="s">
        <v>50</v>
      </c>
      <c r="I305" s="6" t="s">
        <v>328</v>
      </c>
      <c r="J305" s="6"/>
      <c r="K305" s="6"/>
      <c r="L305" s="18" t="s">
        <v>329</v>
      </c>
    </row>
    <row r="306" spans="1:12" ht="14.4" customHeight="1" x14ac:dyDescent="0.3">
      <c r="A306" s="38"/>
      <c r="B306" s="38"/>
      <c r="C306" s="38"/>
      <c r="D306" s="38"/>
      <c r="E306" s="38"/>
      <c r="F306" s="38"/>
      <c r="G306" s="38"/>
      <c r="H306" s="38"/>
      <c r="I306" s="44" t="s">
        <v>330</v>
      </c>
      <c r="J306" s="6"/>
      <c r="K306" s="6"/>
    </row>
    <row r="307" spans="1:12" ht="14.4" customHeight="1" x14ac:dyDescent="0.3">
      <c r="A307" s="38"/>
      <c r="B307" s="38"/>
      <c r="C307" s="38"/>
      <c r="D307" s="38"/>
      <c r="E307" s="38"/>
      <c r="F307" s="38"/>
      <c r="G307" s="38"/>
      <c r="H307" s="5" t="s">
        <v>50</v>
      </c>
      <c r="I307" s="10">
        <f>1*PI()^2*E38/(I280/I295)^2*SQRT(1+0.078*E40/(E33*E26)*(I280/I295)^2)</f>
        <v>1812.826567019529</v>
      </c>
      <c r="J307" s="6" t="s">
        <v>75</v>
      </c>
      <c r="K307" s="6"/>
      <c r="L307" s="6"/>
    </row>
    <row r="308" spans="1:12" ht="15.6" customHeight="1" x14ac:dyDescent="0.3">
      <c r="A308" s="38"/>
      <c r="B308" s="38"/>
      <c r="C308" s="6" t="s">
        <v>331</v>
      </c>
      <c r="D308" s="6"/>
      <c r="E308" s="6"/>
      <c r="F308" s="6"/>
      <c r="G308" s="5" t="s">
        <v>332</v>
      </c>
      <c r="H308" s="5" t="s">
        <v>50</v>
      </c>
      <c r="I308" s="10">
        <v>0.76</v>
      </c>
      <c r="J308" s="6" t="s">
        <v>333</v>
      </c>
      <c r="K308" s="6"/>
      <c r="L308" s="6"/>
    </row>
    <row r="309" spans="1:12" ht="15.6" customHeight="1" x14ac:dyDescent="0.3">
      <c r="A309" s="38"/>
      <c r="B309" s="38"/>
      <c r="C309" s="6" t="s">
        <v>334</v>
      </c>
      <c r="D309" s="6"/>
      <c r="E309" s="6"/>
      <c r="F309" s="6"/>
      <c r="G309" s="5" t="s">
        <v>335</v>
      </c>
      <c r="H309" s="5" t="s">
        <v>50</v>
      </c>
      <c r="I309" s="10">
        <v>1</v>
      </c>
      <c r="J309" s="6" t="s">
        <v>336</v>
      </c>
      <c r="K309" s="6"/>
      <c r="L309" s="6"/>
    </row>
    <row r="310" spans="1:12" ht="15.6" customHeight="1" x14ac:dyDescent="0.3">
      <c r="A310" s="38"/>
      <c r="B310" s="38"/>
      <c r="C310" s="6" t="s">
        <v>337</v>
      </c>
      <c r="D310" s="6"/>
      <c r="E310" s="6"/>
      <c r="F310" s="6"/>
      <c r="G310" s="5" t="s">
        <v>338</v>
      </c>
      <c r="H310" s="5" t="s">
        <v>50</v>
      </c>
      <c r="I310" s="5" t="s">
        <v>339</v>
      </c>
      <c r="J310" s="6" t="s">
        <v>340</v>
      </c>
      <c r="K310" s="6"/>
      <c r="L310" s="6"/>
    </row>
    <row r="311" spans="1:12" ht="14.4" customHeight="1" x14ac:dyDescent="0.3">
      <c r="A311" s="38"/>
      <c r="B311" s="38"/>
      <c r="C311" s="38"/>
      <c r="D311" s="38"/>
      <c r="E311" s="38"/>
      <c r="F311" s="38"/>
      <c r="G311" s="38"/>
      <c r="H311" s="5" t="s">
        <v>50</v>
      </c>
      <c r="I311" s="10">
        <f>E15*E33/10^6</f>
        <v>21.206651442149678</v>
      </c>
      <c r="J311" s="6" t="s">
        <v>61</v>
      </c>
      <c r="K311" s="6"/>
      <c r="L311" s="6"/>
    </row>
    <row r="312" spans="1:12" ht="15.6" customHeight="1" x14ac:dyDescent="0.3">
      <c r="A312" s="38"/>
      <c r="B312" s="38"/>
      <c r="C312" s="6" t="s">
        <v>341</v>
      </c>
      <c r="D312" s="6"/>
      <c r="E312" s="6"/>
      <c r="F312" s="6"/>
      <c r="G312" s="5" t="s">
        <v>342</v>
      </c>
      <c r="H312" s="5" t="s">
        <v>50</v>
      </c>
      <c r="I312" s="5" t="s">
        <v>339</v>
      </c>
      <c r="J312" s="6" t="s">
        <v>343</v>
      </c>
      <c r="K312" s="6"/>
      <c r="L312" s="6"/>
    </row>
    <row r="313" spans="1:12" x14ac:dyDescent="0.3">
      <c r="A313" s="38"/>
      <c r="B313" s="38"/>
      <c r="C313" s="38"/>
      <c r="D313" s="38"/>
      <c r="E313" s="38"/>
      <c r="F313" s="38"/>
      <c r="G313" s="38"/>
      <c r="H313" s="5" t="s">
        <v>50</v>
      </c>
      <c r="I313" s="10">
        <f>E15*E33/10^6</f>
        <v>21.206651442149678</v>
      </c>
      <c r="J313" s="6" t="s">
        <v>61</v>
      </c>
      <c r="K313" s="6"/>
      <c r="L313" s="6"/>
    </row>
    <row r="314" spans="1:12" ht="15.6" customHeight="1" x14ac:dyDescent="0.3">
      <c r="A314" s="38"/>
      <c r="B314" s="38"/>
      <c r="C314" s="6" t="s">
        <v>291</v>
      </c>
      <c r="D314" s="6"/>
      <c r="E314" s="6"/>
      <c r="F314" s="6"/>
      <c r="G314" s="5" t="s">
        <v>292</v>
      </c>
      <c r="H314" s="5" t="s">
        <v>50</v>
      </c>
      <c r="I314" s="32" t="s">
        <v>344</v>
      </c>
      <c r="J314" s="6" t="s">
        <v>345</v>
      </c>
      <c r="K314" s="6"/>
      <c r="L314" s="6"/>
    </row>
    <row r="315" spans="1:12" ht="14.4" customHeight="1" x14ac:dyDescent="0.3">
      <c r="A315" s="38"/>
      <c r="B315" s="38"/>
      <c r="C315" s="6" t="s">
        <v>346</v>
      </c>
      <c r="D315" s="6"/>
      <c r="E315" s="6"/>
      <c r="F315" s="6"/>
      <c r="H315" s="5" t="s">
        <v>50</v>
      </c>
      <c r="I315" s="10">
        <f>PI()*I295*SQRT(E38/(0.7*E15))</f>
        <v>2903.4729844480185</v>
      </c>
      <c r="J315" s="6" t="s">
        <v>3</v>
      </c>
      <c r="K315" s="6"/>
      <c r="L315" s="6"/>
    </row>
    <row r="316" spans="1:12" ht="14.4" customHeight="1" x14ac:dyDescent="0.3">
      <c r="A316" s="38"/>
      <c r="B316" s="38"/>
      <c r="C316" s="6" t="s">
        <v>347</v>
      </c>
      <c r="D316" s="6"/>
      <c r="E316" s="6"/>
      <c r="F316" s="6"/>
      <c r="G316" s="5" t="s">
        <v>243</v>
      </c>
      <c r="H316" s="5" t="s">
        <v>50</v>
      </c>
      <c r="I316" s="6" t="str" cm="1">
        <f t="array" ref="I316">_xlfn.IFS(I280&lt;=I299,"Tidak berlaku",I280&lt;=I315,"Cb.(Fy-(0,3.Fy).(Lb-Lp)/(Lr-Lp))",I280&gt;I315,"Cb.pi^2.E/(Lb/rt)^2")</f>
        <v>Cb.(Fy-(0,3.Fy).(Lb-Lp)/(Lr-Lp))</v>
      </c>
      <c r="J316" s="6"/>
      <c r="K316" s="6"/>
      <c r="L316" s="18" t="str">
        <f>_xlfn.CONCAT("(",RIGHT(F372,4),")")</f>
        <v>(F5-3)</v>
      </c>
    </row>
    <row r="317" spans="1:12" ht="14.4" customHeight="1" x14ac:dyDescent="0.3">
      <c r="A317" s="38"/>
      <c r="B317" s="38"/>
      <c r="C317" s="38"/>
      <c r="D317" s="38"/>
      <c r="E317" s="38"/>
      <c r="F317" s="38"/>
      <c r="G317" s="38"/>
      <c r="H317" s="5" t="s">
        <v>50</v>
      </c>
      <c r="I317" s="10" cm="1">
        <f t="array" ref="I317">_xlfn.IFS(I280&lt;=I299,"Tidak berlaku",I280&lt;=I315,1*(E15-(0.3*E15)*(I280-I299)/(I315-I299)),I280&gt;I315,1*PI()^2*E38/(I280/I295)^2)</f>
        <v>244.54075040709893</v>
      </c>
      <c r="J317" s="6" t="s">
        <v>75</v>
      </c>
      <c r="K317" s="6"/>
      <c r="L317" s="6"/>
    </row>
    <row r="318" spans="1:12" ht="14.4" customHeight="1" x14ac:dyDescent="0.3">
      <c r="A318" s="38"/>
      <c r="B318" s="38"/>
      <c r="C318" s="6" t="s">
        <v>348</v>
      </c>
      <c r="D318" s="6"/>
      <c r="E318" s="6"/>
      <c r="F318" s="6"/>
      <c r="G318" s="5" t="s">
        <v>349</v>
      </c>
      <c r="H318" s="5" t="s">
        <v>50</v>
      </c>
      <c r="I318" s="37" t="s">
        <v>350</v>
      </c>
      <c r="J318" s="37"/>
      <c r="K318" s="37"/>
      <c r="L318" s="18" t="s">
        <v>351</v>
      </c>
    </row>
    <row r="319" spans="1:12" ht="14.4" customHeight="1" x14ac:dyDescent="0.3">
      <c r="A319" s="38"/>
      <c r="B319" s="38"/>
      <c r="C319" s="38"/>
      <c r="D319" s="38"/>
      <c r="E319" s="38"/>
      <c r="F319" s="38"/>
      <c r="G319" s="38"/>
      <c r="H319" s="5" t="s">
        <v>50</v>
      </c>
      <c r="I319" s="10">
        <f>1-I297/(1200+300*I297)*(E26/E23-5.7*SQRT(E38/E15))</f>
        <v>1.0715437376092876</v>
      </c>
      <c r="J319" s="6"/>
      <c r="K319" s="6"/>
      <c r="L319" s="6"/>
    </row>
    <row r="320" spans="1:12" ht="15.6" customHeight="1" x14ac:dyDescent="0.3">
      <c r="A320" s="38"/>
      <c r="B320" s="38"/>
      <c r="C320" s="6" t="s">
        <v>352</v>
      </c>
      <c r="D320" s="6"/>
      <c r="E320" s="6"/>
      <c r="F320" s="6"/>
      <c r="G320" s="5" t="s">
        <v>349</v>
      </c>
      <c r="H320" s="5" t="s">
        <v>50</v>
      </c>
      <c r="I320" s="10">
        <v>1</v>
      </c>
      <c r="J320" s="6" t="s">
        <v>351</v>
      </c>
      <c r="K320" s="6"/>
      <c r="L320" s="6"/>
    </row>
    <row r="321" spans="1:15" ht="15.6" customHeight="1" x14ac:dyDescent="0.3">
      <c r="A321" s="38"/>
      <c r="B321" s="38"/>
      <c r="C321" s="6" t="s">
        <v>353</v>
      </c>
      <c r="D321" s="6"/>
      <c r="E321" s="6"/>
      <c r="F321" s="6"/>
      <c r="G321" s="5" t="s">
        <v>349</v>
      </c>
      <c r="H321" s="5" t="s">
        <v>50</v>
      </c>
      <c r="I321" s="10">
        <f>IF(I319&lt;=I320,I319,I320)</f>
        <v>1</v>
      </c>
      <c r="J321" s="6" t="s">
        <v>351</v>
      </c>
      <c r="K321" s="6"/>
      <c r="L321" s="6"/>
    </row>
    <row r="322" spans="1:15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N322" s="5"/>
      <c r="O322" s="5"/>
    </row>
    <row r="323" spans="1:15" ht="15.6" customHeight="1" x14ac:dyDescent="0.3">
      <c r="A323" s="7" t="str" cm="1">
        <f t="array" aca="1" ref="A323" ca="1">IF(AND(EXACT(M323,"SUBBAB"),SUBTOTAL(103,OFFSET(M323,0,0))),CHAR(64+SUMPRODUCT((EXACT(M$4:M323,"SUBBAB"))*SUBTOTAL(103,OFFSET(M$4,ROW(M$4:M323)-ROW(M$4),0)))),"")</f>
        <v/>
      </c>
      <c r="B323" s="7">
        <f>IF(N323="ANAK",_xlfn.AGGREGATE(2,5,$B$275:B321)+1,"")</f>
        <v>2</v>
      </c>
      <c r="C323" s="42" t="s">
        <v>354</v>
      </c>
      <c r="D323" s="42"/>
      <c r="E323" s="42"/>
      <c r="F323" s="42"/>
      <c r="G323" s="42"/>
      <c r="H323" s="6" t="s">
        <v>355</v>
      </c>
      <c r="I323" s="6"/>
      <c r="J323" s="6"/>
      <c r="K323" s="6"/>
      <c r="L323" s="6"/>
      <c r="N323" s="5" t="s">
        <v>47</v>
      </c>
      <c r="O323" s="5"/>
    </row>
    <row r="324" spans="1:15" ht="15.6" customHeight="1" x14ac:dyDescent="0.3">
      <c r="A324" s="38"/>
      <c r="B324" s="38"/>
      <c r="C324" s="27" t="s">
        <v>356</v>
      </c>
      <c r="D324" s="27"/>
      <c r="E324" s="27"/>
      <c r="F324" s="27"/>
      <c r="G324" s="5" t="s">
        <v>357</v>
      </c>
      <c r="H324" s="5" t="s">
        <v>50</v>
      </c>
      <c r="I324" s="5" t="s">
        <v>358</v>
      </c>
      <c r="J324" s="6" t="s">
        <v>359</v>
      </c>
      <c r="K324" s="6"/>
      <c r="L324" s="6"/>
      <c r="N324" s="5"/>
      <c r="O324" s="5"/>
    </row>
    <row r="325" spans="1:15" x14ac:dyDescent="0.3">
      <c r="A325" s="38"/>
      <c r="B325" s="38"/>
      <c r="C325" s="38"/>
      <c r="D325" s="38"/>
      <c r="E325" s="38"/>
      <c r="F325" s="38"/>
      <c r="G325" s="38"/>
      <c r="H325" s="5" t="s">
        <v>50</v>
      </c>
      <c r="I325" s="10">
        <f>IF(AND(F118="Penampang Tak Kompak",F128="Penampang Kompak"),"Tidak berlaku",IF(AND(F118="Penampang Langsing",F128="Penampang Kompak"),"Tidak berlaku",IF(AND(F118="Penampang Kompak",F128="Penampang Tak Kompak"),"Tidak berlaku",IF(AND(F118="Penampang Tak Kompak",F128="Penampang Tak Kompak"),"Tidak berlaku",IF(AND(F118="Penampang Langsing",F128="Penampang Tak Kompak"),"Tidak berlaku",IF(AND(F118="Penampang Kompak",F128="Penampang Langsing"),"Tidak berlaku",IF(AND(F118="Penampang Tak Kompak",F128="Penampang Langsing"),"Tidak berlaku",IF(AND(F118="Penampang Langsing",F128="Penampang Langsing"),"Tidak berlaku",E15*E35/10^6))))))))</f>
        <v>18.399999999999999</v>
      </c>
      <c r="J325" s="6" t="s">
        <v>61</v>
      </c>
      <c r="K325" s="6"/>
      <c r="L325" s="6"/>
      <c r="N325" s="5"/>
      <c r="O325" s="5"/>
    </row>
    <row r="326" spans="1:15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N326" s="5"/>
      <c r="O326" s="5"/>
    </row>
    <row r="327" spans="1:15" ht="15.6" customHeight="1" x14ac:dyDescent="0.3">
      <c r="A327" s="7" t="str" cm="1">
        <f t="array" aca="1" ref="A327" ca="1">IF(AND(EXACT(M327,"SUBBAB"),SUBTOTAL(103,OFFSET(M327,0,0))),CHAR(64+SUMPRODUCT((EXACT(M$4:M327,"SUBBAB"))*SUBTOTAL(103,OFFSET(M$4,ROW(M$4:M327)-ROW(M$4),0)))),"")</f>
        <v/>
      </c>
      <c r="B327" s="7">
        <f>IF(N327="ANAK",_xlfn.AGGREGATE(2,5,$B$275:B325)+1,"")</f>
        <v>3</v>
      </c>
      <c r="C327" s="42" t="s">
        <v>360</v>
      </c>
      <c r="D327" s="42"/>
      <c r="E327" s="42"/>
      <c r="F327" s="42"/>
      <c r="G327" s="42"/>
      <c r="H327" s="6" t="s">
        <v>355</v>
      </c>
      <c r="I327" s="6"/>
      <c r="J327" s="6"/>
      <c r="K327" s="6"/>
      <c r="L327" s="6"/>
      <c r="N327" s="5" t="s">
        <v>47</v>
      </c>
      <c r="O327" s="5"/>
    </row>
    <row r="328" spans="1:15" x14ac:dyDescent="0.3">
      <c r="A328" s="38"/>
      <c r="B328" s="38"/>
      <c r="C328" s="6" t="s">
        <v>361</v>
      </c>
      <c r="D328" s="6"/>
      <c r="E328" s="6" t="s">
        <v>50</v>
      </c>
      <c r="F328" s="6" t="str" cm="1">
        <f t="array" ref="F328">_xlfn.IFS(I280&lt;=I282,"Lb&lt;Lp",I280&lt;=I285,"Lp&lt;Lb&lt;Lr",I280&gt;I285,"Lb&gt;Lr")</f>
        <v>Lb&lt;Lp</v>
      </c>
      <c r="G328" s="6"/>
      <c r="H328" s="6"/>
      <c r="I328" s="6"/>
      <c r="J328" s="6"/>
      <c r="K328" s="6"/>
      <c r="L328" s="6"/>
    </row>
    <row r="329" spans="1:15" x14ac:dyDescent="0.3">
      <c r="A329" s="38"/>
      <c r="B329" s="38"/>
      <c r="C329" s="38"/>
      <c r="D329" s="38"/>
      <c r="E329" s="5" t="s">
        <v>50</v>
      </c>
      <c r="F329" s="37" t="str" cm="1">
        <f t="array" ref="F329">_xlfn.IFS(I280&lt;=I282,"Tidak berlaku",I280&lt;=I285,"Menggunakan Pers. F2-2",I280&gt;I285,"Menggunakan Pers. F2-3")</f>
        <v>Tidak berlaku</v>
      </c>
      <c r="G329" s="37"/>
      <c r="H329" s="37"/>
      <c r="I329" s="37"/>
      <c r="J329" s="37"/>
      <c r="K329" s="37"/>
      <c r="L329" s="37"/>
    </row>
    <row r="330" spans="1:15" x14ac:dyDescent="0.3">
      <c r="A330" s="38"/>
      <c r="B330" s="38"/>
      <c r="C330" s="27" t="s">
        <v>362</v>
      </c>
      <c r="D330" s="27"/>
      <c r="E330" s="27"/>
      <c r="F330" s="27"/>
      <c r="G330" s="5" t="s">
        <v>169</v>
      </c>
      <c r="H330" s="5" t="s">
        <v>50</v>
      </c>
      <c r="I330" s="6" t="str" cm="1">
        <f t="array" ref="I330">_xlfn.IFS(I280&lt;=I282,"Tidak berlaku",I280&lt;=I285,"Cb.(Mp-(Mp-0,7.Fy.Sx)((Lb-Lp)/(Lr-Lp)))",I280&gt;I285,"Fcr.Sx")</f>
        <v>Tidak berlaku</v>
      </c>
      <c r="J330" s="6"/>
      <c r="K330" s="6"/>
      <c r="L330" s="18" t="str" cm="1">
        <f t="array" ref="L330">_xlfn.IFS(I280&lt;=I282,"",I280&lt;=I285,"(F2-2)",I280&gt;I285,"(F2-3)")</f>
        <v/>
      </c>
    </row>
    <row r="331" spans="1:15" x14ac:dyDescent="0.3">
      <c r="A331" s="38"/>
      <c r="B331" s="38"/>
      <c r="C331" s="38"/>
      <c r="D331" s="38"/>
      <c r="E331" s="38"/>
      <c r="F331" s="38"/>
      <c r="G331" s="38"/>
      <c r="H331" s="5" t="s">
        <v>50</v>
      </c>
      <c r="I331" s="10" t="str" cm="1">
        <f t="array" ref="I331">IF(AND(F118="Penampang Tak Kompak",F128="Penampang Kompak"),"Tidak berlaku",IF(AND(F118="Penampang Langsing",F128="Penampang Kompak"),"Tidak berlaku",IF(AND(F118="Penampang Kompak",F128="Penampang Tak Kompak"),"Tidak berlaku",IF(AND(F118="Penampang Tak Kompak",F128="Penampang Tak Kompak"),"Tidak berlaku",IF(AND(F118="Penampang Langsing",F128="Penampang Tak Kompak"),"Tidak berlaku",IF(AND(F118="Penampang Kompak",F128="Penampang Langsing"),"Tidak berlaku",IF(AND(F118="Penampang Tak Kompak",F128="Penampang Langsing"),"Tidak berlaku",IF(AND(F118="Penampang Langsing",F128="Penampang Langsing"),"Tidak berlaku",_xlfn.IFS(I280&lt;=I282,"Tidak berlaku",I280&lt;=I285,1*((I325*10^6)-(I325*10^6-0.7*E15*E33)*((I280-I282)/(I285-I282)))/10^6,I280&gt;I285,I288*E33/10^6)))))))))</f>
        <v>Tidak berlaku</v>
      </c>
      <c r="J331" s="15" t="str">
        <f>IF(I331="Tidak berlaku","","kNm")</f>
        <v/>
      </c>
      <c r="K331" s="6"/>
      <c r="L331" s="6"/>
    </row>
    <row r="332" spans="1:15" ht="15.6" customHeight="1" x14ac:dyDescent="0.3">
      <c r="A332" s="38"/>
      <c r="B332" s="38"/>
      <c r="C332" s="27" t="s">
        <v>363</v>
      </c>
      <c r="D332" s="27"/>
      <c r="E332" s="27"/>
      <c r="F332" s="27"/>
      <c r="G332" s="5" t="s">
        <v>169</v>
      </c>
      <c r="H332" s="5" t="s">
        <v>50</v>
      </c>
      <c r="I332" s="10" t="str" cm="1">
        <f t="array" ref="I332">_xlfn.IFS(I331="Tidak berlaku","Tidak berlaku",I331&lt;I325,I331,I331&gt;I325,I325)</f>
        <v>Tidak berlaku</v>
      </c>
      <c r="J332" s="15" t="str">
        <f>IF(I332="Tidak berlaku","","kNm")</f>
        <v/>
      </c>
      <c r="K332" s="6" t="str" cm="1">
        <f t="array" ref="K332">_xlfn.IFS(I331="Tidak berlaku","",I331&gt;I325,"(F2-1)",I331&lt;I325,L330)</f>
        <v/>
      </c>
      <c r="L332" s="6"/>
    </row>
    <row r="333" spans="1:15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</row>
    <row r="334" spans="1:15" ht="15.6" customHeight="1" x14ac:dyDescent="0.3">
      <c r="A334" s="7" t="str" cm="1">
        <f t="array" aca="1" ref="A334" ca="1">IF(AND(EXACT(M334,"SUBBAB"),SUBTOTAL(103,OFFSET(M334,0,0))),CHAR(64+SUMPRODUCT((EXACT(M$4:M334,"SUBBAB"))*SUBTOTAL(103,OFFSET(M$4,ROW(M$4:M334)-ROW(M$4),0)))),"")</f>
        <v/>
      </c>
      <c r="B334" s="7">
        <f>IF(N334="ANAK",_xlfn.AGGREGATE(2,5,$B$275:B332)+1,"")</f>
        <v>4</v>
      </c>
      <c r="C334" s="42" t="s">
        <v>360</v>
      </c>
      <c r="D334" s="42"/>
      <c r="E334" s="42"/>
      <c r="F334" s="42"/>
      <c r="G334" s="42"/>
      <c r="H334" s="6" t="s">
        <v>364</v>
      </c>
      <c r="I334" s="6"/>
      <c r="J334" s="6"/>
      <c r="K334" s="6"/>
      <c r="L334" s="6"/>
      <c r="N334" s="5" t="s">
        <v>47</v>
      </c>
      <c r="O334" s="5"/>
    </row>
    <row r="335" spans="1:15" ht="14.4" customHeight="1" x14ac:dyDescent="0.3">
      <c r="A335" s="38"/>
      <c r="B335" s="38"/>
      <c r="C335" s="6" t="s">
        <v>361</v>
      </c>
      <c r="D335" s="6"/>
      <c r="E335" s="6" t="s">
        <v>50</v>
      </c>
      <c r="F335" s="6" t="str" cm="1">
        <f t="array" ref="F335">_xlfn.IFS(I280&lt;=I282,"Lb&lt;Lp",I280&lt;=I285,"Lp&lt;Lb&lt;Lr",I280&gt;I285,"Lb&gt;Lr")</f>
        <v>Lb&lt;Lp</v>
      </c>
      <c r="G335" s="6"/>
      <c r="H335" s="6"/>
      <c r="I335" s="6"/>
      <c r="J335" s="6"/>
      <c r="K335" s="6"/>
      <c r="L335" s="6"/>
    </row>
    <row r="336" spans="1:15" ht="14.4" customHeight="1" x14ac:dyDescent="0.3">
      <c r="A336" s="38"/>
      <c r="B336" s="38"/>
      <c r="C336" s="38"/>
      <c r="D336" s="38"/>
      <c r="E336" s="5" t="s">
        <v>50</v>
      </c>
      <c r="F336" s="37" t="str" cm="1">
        <f t="array" ref="F336">_xlfn.IFS(I280&lt;=I282,"Tidak berlaku",I280&lt;=I285,"Menggunakan Pers. F2-2",I280&gt;I285,"Menggunakan Pers. F2-3")</f>
        <v>Tidak berlaku</v>
      </c>
      <c r="G336" s="37"/>
      <c r="H336" s="37"/>
      <c r="I336" s="37"/>
      <c r="J336" s="37"/>
      <c r="K336" s="37"/>
      <c r="L336" s="37"/>
    </row>
    <row r="337" spans="1:15" ht="14.4" customHeight="1" x14ac:dyDescent="0.3">
      <c r="A337" s="38"/>
      <c r="B337" s="38"/>
      <c r="C337" s="27" t="s">
        <v>362</v>
      </c>
      <c r="D337" s="27"/>
      <c r="E337" s="27"/>
      <c r="F337" s="27"/>
      <c r="G337" s="5" t="s">
        <v>169</v>
      </c>
      <c r="H337" s="5" t="s">
        <v>50</v>
      </c>
      <c r="I337" s="6" t="str" cm="1">
        <f t="array" ref="I337">_xlfn.IFS(I280&lt;=I282,"Tidak berlaku",I280&lt;=I285,"Cb.(Mp-(Mp-0,7.Fy.Sx)((Lb-Lp)/(Lr-Lp)))",I280&gt;I285,"Fcr.Sx")</f>
        <v>Tidak berlaku</v>
      </c>
      <c r="J337" s="6"/>
      <c r="K337" s="6"/>
      <c r="L337" s="18" t="str" cm="1">
        <f t="array" ref="L337">_xlfn.IFS(I280&lt;=I282,"",I280&lt;=I285,"(F2-2)",I280&gt;I285,"(F2-3)")</f>
        <v/>
      </c>
    </row>
    <row r="338" spans="1:15" ht="14.4" customHeight="1" x14ac:dyDescent="0.3">
      <c r="A338" s="38"/>
      <c r="B338" s="38"/>
      <c r="C338" s="38"/>
      <c r="D338" s="38"/>
      <c r="E338" s="38"/>
      <c r="F338" s="38"/>
      <c r="G338" s="38"/>
      <c r="H338" s="5" t="s">
        <v>50</v>
      </c>
      <c r="I338" s="10" t="str" cm="1">
        <f t="array" ref="I338">IF(AND(F118="Penampang Kompak",F128="Penampang Kompak"),"Tidak berlaku",IF(AND(F118="Penampang Kompak",F128="Penampang Tak Kompak"),"Tidak berlaku",IF(AND(F118="Penampang Kompak",F128="Penampang Langsing"),"Tidak berlaku",IF(AND(F118="Penampang Tak Kompak",F128="Penampang Langsing"),"Tidak berlaku",IF(AND(F118="Penampang Langsing",F128="Penampang Langsing"),"Tidak berlaku",_xlfn.IFS(I280&lt;=I282,"Tidak berlaku",I280&lt;=I285,1*((E15*E35)-(E15*E35-0.7*E15*E33)*((I280-I282)/(I285-I282)))/10^6,I280&gt;I285,I288*E33/10^6))))))</f>
        <v>Tidak berlaku</v>
      </c>
      <c r="J338" s="15" t="str">
        <f>IF(I338="Tidak berlaku","","kNm")</f>
        <v/>
      </c>
      <c r="K338" s="6"/>
      <c r="L338" s="6"/>
    </row>
    <row r="339" spans="1:15" ht="15.6" customHeight="1" x14ac:dyDescent="0.3">
      <c r="A339" s="38"/>
      <c r="B339" s="38"/>
      <c r="C339" s="27" t="s">
        <v>363</v>
      </c>
      <c r="D339" s="27"/>
      <c r="E339" s="27"/>
      <c r="F339" s="27"/>
      <c r="G339" s="5" t="s">
        <v>169</v>
      </c>
      <c r="H339" s="5" t="s">
        <v>50</v>
      </c>
      <c r="I339" s="10" t="str" cm="1">
        <f t="array" ref="I339">IF(AND(F118="Penampang Tak Kompak",F128="Penampang Tak Kompak"),"Tidak berlaku",IF(AND(F118="Penampang Langsing",F128="Penampang Tak Kompak"),"Tidak berlaku",_xlfn.IFS(I338="Tidak berlaku","Tidak berlaku",I338&lt;I325,I338,I338&gt;I325,I325)))</f>
        <v>Tidak berlaku</v>
      </c>
      <c r="J339" s="15" t="str">
        <f>IF(I339="Tidak berlaku","","kNm")</f>
        <v/>
      </c>
      <c r="K339" s="6" t="str" cm="1">
        <f t="array" ref="K339">_xlfn.IFS(I331="Tidak berlaku","",I331&gt;I325,"(F2-1)",I331&lt;I325,L330)</f>
        <v/>
      </c>
      <c r="L339" s="6"/>
    </row>
    <row r="340" spans="1:15" ht="14.4" customHeight="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</row>
    <row r="341" spans="1:15" ht="15.6" customHeight="1" x14ac:dyDescent="0.3">
      <c r="A341" s="7" t="str" cm="1">
        <f t="array" aca="1" ref="A341" ca="1">IF(AND(EXACT(M341,"SUBBAB"),SUBTOTAL(103,OFFSET(M341,0,0))),CHAR(64+SUMPRODUCT((EXACT(M$4:M341,"SUBBAB"))*SUBTOTAL(103,OFFSET(M$4,ROW(M$4:M341)-ROW(M$4),0)))),"")</f>
        <v/>
      </c>
      <c r="B341" s="7">
        <f>IF(N341="ANAK",_xlfn.AGGREGATE(2,5,$B$275:B339)+1,"")</f>
        <v>5</v>
      </c>
      <c r="C341" s="42" t="s">
        <v>365</v>
      </c>
      <c r="D341" s="42"/>
      <c r="E341" s="42"/>
      <c r="F341" s="42"/>
      <c r="G341" s="42"/>
      <c r="H341" s="6" t="s">
        <v>364</v>
      </c>
      <c r="I341" s="6"/>
      <c r="J341" s="6"/>
      <c r="K341" s="6"/>
      <c r="L341" s="6"/>
      <c r="N341" s="5" t="s">
        <v>47</v>
      </c>
      <c r="O341" s="5"/>
    </row>
    <row r="342" spans="1:15" ht="14.4" customHeight="1" x14ac:dyDescent="0.3">
      <c r="A342" s="38"/>
      <c r="B342" s="38"/>
      <c r="C342" s="27" t="s">
        <v>366</v>
      </c>
      <c r="D342" s="27"/>
      <c r="E342" s="27"/>
      <c r="F342" s="27"/>
      <c r="G342" s="27"/>
      <c r="H342" s="5" t="s">
        <v>50</v>
      </c>
      <c r="I342" s="37" t="str">
        <f>F118</f>
        <v>Penampang Kompak</v>
      </c>
      <c r="J342" s="37"/>
      <c r="K342" s="6"/>
      <c r="L342" s="6"/>
    </row>
    <row r="343" spans="1:15" ht="15.6" customHeight="1" x14ac:dyDescent="0.3">
      <c r="A343" s="38"/>
      <c r="B343" s="38"/>
      <c r="C343" s="27" t="s">
        <v>367</v>
      </c>
      <c r="D343" s="27"/>
      <c r="E343" s="27"/>
      <c r="F343" s="27"/>
      <c r="G343" s="5" t="s">
        <v>169</v>
      </c>
      <c r="H343" s="5" t="s">
        <v>50</v>
      </c>
      <c r="I343" s="6" t="str" cm="1">
        <f t="array" ref="I343">_xlfn.IFS(I342="Penampang Kompak","Tidak berlaku",I342="Penampang Tak Kompak","(Fy.Zx)-(Fy.Zx-0,7.Fy.Sx).(λf-λpf)/(λr-λp)",I342="Penampang Langsing","0,9.E.kc.Sx/λf^2")</f>
        <v>Tidak berlaku</v>
      </c>
      <c r="J343" s="6"/>
      <c r="K343" s="6"/>
      <c r="L343" s="18" t="str" cm="1">
        <f t="array" ref="L343">_xlfn.IFS(I342="Penampang Kompak","",I342="Penampang Tak Kompak","(F3-1)",I342="Penampang Langsing","(F3-2)")</f>
        <v/>
      </c>
    </row>
    <row r="344" spans="1:15" ht="14.4" customHeight="1" x14ac:dyDescent="0.3">
      <c r="A344" s="38"/>
      <c r="B344" s="38"/>
      <c r="C344" s="38"/>
      <c r="D344" s="38"/>
      <c r="E344" s="38"/>
      <c r="F344" s="38"/>
      <c r="G344" s="38"/>
      <c r="H344" s="5" t="s">
        <v>50</v>
      </c>
      <c r="I344" s="10" t="str" cm="1">
        <f t="array" ref="I344">IF(AND(F118="Penampang Tak Kompak",F128="Penampang Tak Kompak"),"Tidak berlaku",IF(AND(F118="Penampang Langsing",F128="Penampang Tak Kompak"),"Tidak berlaku",IF(AND(F118="Penampang Tak Kompak",F128="Penampang Langsing"),"Tidak berlaku",IF(AND(F118="Penampang Langsing",F128="Penampang Langsing"),"Tidak berlaku",_xlfn.IFS(I342="Penampang Kompak","Tidak berlaku",I342="Penampang Tak Kompak",(E15*E35-(E15*E35-0.7*E15*E33)*(I112-I114)/(I116-I114))/10^6,I342="Penampang Langsing",(0.9*E38*I293*E33/I112^2)/10^6)))))</f>
        <v>Tidak berlaku</v>
      </c>
      <c r="J344" s="15" t="str">
        <f>IF(I344="Tidak berlaku","","kNm")</f>
        <v/>
      </c>
      <c r="K344" s="6"/>
      <c r="L344" s="6"/>
    </row>
    <row r="345" spans="1:15" ht="14.4" customHeight="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</row>
    <row r="346" spans="1:15" ht="15.6" customHeight="1" x14ac:dyDescent="0.3">
      <c r="A346" s="7" t="str" cm="1">
        <f t="array" aca="1" ref="A346" ca="1">IF(AND(EXACT(M346,"SUBBAB"),SUBTOTAL(103,OFFSET(M346,0,0))),CHAR(64+SUMPRODUCT((EXACT(M$4:M346,"SUBBAB"))*SUBTOTAL(103,OFFSET(M$4,ROW(M$4:M346)-ROW(M$4),0)))),"")</f>
        <v/>
      </c>
      <c r="B346" s="7">
        <f>IF(N346="ANAK",_xlfn.AGGREGATE(2,5,$B$275:B344)+1,"")</f>
        <v>6</v>
      </c>
      <c r="C346" s="42" t="s">
        <v>368</v>
      </c>
      <c r="D346" s="42"/>
      <c r="E346" s="42"/>
      <c r="F346" s="42"/>
      <c r="G346" s="42"/>
      <c r="H346" s="6" t="s">
        <v>369</v>
      </c>
      <c r="I346" s="6"/>
      <c r="J346" s="6"/>
      <c r="K346" s="6"/>
      <c r="L346" s="6"/>
      <c r="N346" s="5" t="s">
        <v>47</v>
      </c>
      <c r="O346" s="5"/>
    </row>
    <row r="347" spans="1:15" ht="15.6" customHeight="1" x14ac:dyDescent="0.3">
      <c r="A347" s="38"/>
      <c r="B347" s="38"/>
      <c r="C347" s="27" t="s">
        <v>370</v>
      </c>
      <c r="D347" s="27"/>
      <c r="E347" s="27"/>
      <c r="F347" s="27"/>
      <c r="G347" s="5" t="s">
        <v>169</v>
      </c>
      <c r="H347" s="5" t="s">
        <v>50</v>
      </c>
      <c r="I347" s="5" t="s">
        <v>371</v>
      </c>
      <c r="J347" s="6" t="s">
        <v>372</v>
      </c>
      <c r="K347" s="6"/>
      <c r="L347" s="6"/>
    </row>
    <row r="348" spans="1:15" x14ac:dyDescent="0.3">
      <c r="A348" s="38"/>
      <c r="B348" s="38"/>
      <c r="C348" s="38"/>
      <c r="D348" s="38"/>
      <c r="E348" s="38"/>
      <c r="F348" s="38"/>
      <c r="G348" s="38"/>
      <c r="H348" s="5" t="s">
        <v>50</v>
      </c>
      <c r="I348" s="10">
        <f>IF(AND(F118="Penampang Kompak",F128="Penampang Langsing"),"Tidak berlaku",IF(AND(F118="Penampang Tak Kompak",F128="Penampang Langsing"),"Tidak berlaku",IF(AND(F118="Penampang Langsing",F128="Penampang Langsing"),"Tidak berlaku",I311*I308)))</f>
        <v>16.117055096033756</v>
      </c>
      <c r="J348" s="15" t="s">
        <v>61</v>
      </c>
      <c r="K348" s="6"/>
      <c r="L348" s="6"/>
    </row>
    <row r="349" spans="1:15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</row>
    <row r="350" spans="1:15" ht="15.6" customHeight="1" x14ac:dyDescent="0.3">
      <c r="A350" s="7" t="str" cm="1">
        <f t="array" aca="1" ref="A350" ca="1">IF(AND(EXACT(M350,"SUBBAB"),SUBTOTAL(103,OFFSET(M350,0,0))),CHAR(64+SUMPRODUCT((EXACT(M$4:M350,"SUBBAB"))*SUBTOTAL(103,OFFSET(M$4,ROW(M$4:M350)-ROW(M$4),0)))),"")</f>
        <v/>
      </c>
      <c r="B350" s="7">
        <f>IF(N350="ANAK",_xlfn.AGGREGATE(2,5,$B$275:B348)+1,"")</f>
        <v>7</v>
      </c>
      <c r="C350" s="42" t="s">
        <v>360</v>
      </c>
      <c r="D350" s="42"/>
      <c r="E350" s="42"/>
      <c r="F350" s="42"/>
      <c r="G350" s="42"/>
      <c r="H350" s="6" t="s">
        <v>369</v>
      </c>
      <c r="I350" s="6"/>
      <c r="J350" s="6"/>
      <c r="K350" s="6"/>
      <c r="L350" s="6"/>
      <c r="N350" s="5" t="s">
        <v>47</v>
      </c>
      <c r="O350" s="5"/>
    </row>
    <row r="351" spans="1:15" x14ac:dyDescent="0.3">
      <c r="A351" s="38"/>
      <c r="B351" s="38"/>
      <c r="C351" s="6" t="s">
        <v>361</v>
      </c>
      <c r="D351" s="6"/>
      <c r="E351" s="6" t="s">
        <v>50</v>
      </c>
      <c r="F351" s="6" t="str" cm="1">
        <f t="array" ref="F351">_xlfn.IFS(I280&lt;=I299,"Lb&lt;Lp",I280&lt;=I302,"Lp&lt;Lb&lt;Lr",I280&gt;I302,"Lb&gt;Lr")</f>
        <v>Lp&lt;Lb&lt;Lr</v>
      </c>
      <c r="G351" s="6"/>
      <c r="H351" s="6"/>
      <c r="I351" s="6"/>
      <c r="J351" s="6"/>
      <c r="K351" s="6"/>
      <c r="L351" s="6"/>
    </row>
    <row r="352" spans="1:15" x14ac:dyDescent="0.3">
      <c r="A352" s="38"/>
      <c r="B352" s="38"/>
      <c r="C352" s="38"/>
      <c r="D352" s="38"/>
      <c r="E352" s="5" t="s">
        <v>50</v>
      </c>
      <c r="F352" s="37" t="str" cm="1">
        <f t="array" ref="F352">_xlfn.IFS(I294&lt;=I296,"Tidak berlaku",I294&lt;=I302,"Menggunakan Pers. F4-2",I294&gt;I302,"Menggunakan Pers. F4-3")</f>
        <v>Menggunakan Pers. F4-3</v>
      </c>
      <c r="G352" s="37"/>
      <c r="H352" s="37"/>
      <c r="I352" s="37"/>
      <c r="J352" s="37"/>
      <c r="K352" s="37"/>
      <c r="L352" s="37"/>
    </row>
    <row r="353" spans="1:15" x14ac:dyDescent="0.3">
      <c r="A353" s="38"/>
      <c r="B353" s="38"/>
      <c r="C353" s="27" t="s">
        <v>362</v>
      </c>
      <c r="D353" s="27"/>
      <c r="E353" s="27"/>
      <c r="F353" s="27"/>
      <c r="G353" s="5" t="s">
        <v>169</v>
      </c>
      <c r="H353" s="5" t="s">
        <v>50</v>
      </c>
      <c r="I353" s="6" t="str" cm="1">
        <f t="array" ref="I353">_xlfn.IFS(I280&lt;=I299,"Tidak berlaku",I280&lt;=I302,"Cb.(Rpc.Myc-(Rpc.Myc-FL.Sx)((Lb-Lp)/(Lr-Lp)))",I280&gt;I302,"Fcr.Sx")</f>
        <v>Cb.(Rpc.Myc-(Rpc.Myc-FL.Sx)((Lb-Lp)/(Lr-Lp)))</v>
      </c>
      <c r="J353" s="6"/>
      <c r="K353" s="6"/>
      <c r="L353" s="18" t="str" cm="1">
        <f t="array" ref="L353">_xlfn.IFS(I280&lt;=I299,"",I280&lt;=I302,"(F4-2)",I280&gt;I302,"(F4-3)")</f>
        <v>(F4-2)</v>
      </c>
    </row>
    <row r="354" spans="1:15" x14ac:dyDescent="0.3">
      <c r="A354" s="38"/>
      <c r="B354" s="38"/>
      <c r="C354" s="38"/>
      <c r="D354" s="38"/>
      <c r="E354" s="38"/>
      <c r="F354" s="38"/>
      <c r="G354" s="38"/>
      <c r="H354" s="5" t="s">
        <v>50</v>
      </c>
      <c r="I354" s="10" cm="1">
        <f t="array" ref="I354">IF(AND(F118="Penampang Kompak",F128="Penampang Langsing"),"Tidak berlaku",IF(AND(F118="Penampang Tak Kompak",F128="Penampang Langsing"),"Tidak berlaku",IF(AND(F118="Penampang Langsing",F128="Penampang Langsing"),"Tidak berlaku",_xlfn.IFS(I280&lt;=I299,"Tidak berlaku",I280&lt;=I302,1*(I348*10^6-(I348*10^6-I304*E33)*((I280-I299)/(I302-I299)))/10^6,I280&gt;I302,I307*E33/10^6))))</f>
        <v>16.081352769458075</v>
      </c>
      <c r="J354" s="15" t="str">
        <f>IF(I354="Tidak berlaku","","kNm")</f>
        <v>kNm</v>
      </c>
      <c r="K354" s="6"/>
      <c r="L354" s="6"/>
    </row>
    <row r="355" spans="1:15" ht="15.6" customHeight="1" x14ac:dyDescent="0.3">
      <c r="A355" s="38"/>
      <c r="B355" s="38"/>
      <c r="C355" s="27" t="s">
        <v>373</v>
      </c>
      <c r="D355" s="27"/>
      <c r="E355" s="27"/>
      <c r="F355" s="27"/>
      <c r="G355" s="5" t="s">
        <v>169</v>
      </c>
      <c r="H355" s="5" t="s">
        <v>50</v>
      </c>
      <c r="I355" s="10" cm="1">
        <f t="array" ref="I355">IF(AND(F118="Penampang Kompak",F128="Penampang Langsing"),"Tidak berlaku",_xlfn.IFS(I354="Tidak berlaku","Tidak berlaku",I354&lt;I348,I354,I348&gt;I354,I348))</f>
        <v>16.081352769458075</v>
      </c>
      <c r="J355" s="15" t="str">
        <f>IF(I355="Tidak berlaku","","kNm")</f>
        <v>kNm</v>
      </c>
      <c r="K355" s="6" t="str" cm="1">
        <f t="array" ref="K355">_xlfn.IFS(I280&lt;=I299,"",I280&lt;=I302,"(F4-2)",I280&gt;I302,"(F4-3)")</f>
        <v>(F4-2)</v>
      </c>
      <c r="L355" s="6"/>
    </row>
    <row r="356" spans="1:15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</row>
    <row r="357" spans="1:15" ht="15.6" customHeight="1" x14ac:dyDescent="0.3">
      <c r="A357" s="7" t="str" cm="1">
        <f t="array" aca="1" ref="A357" ca="1">IF(AND(EXACT(M357,"SUBBAB"),SUBTOTAL(103,OFFSET(M357,0,0))),CHAR(64+SUMPRODUCT((EXACT(M$4:M357,"SUBBAB"))*SUBTOTAL(103,OFFSET(M$4,ROW(M$4:M357)-ROW(M$4),0)))),"")</f>
        <v/>
      </c>
      <c r="B357" s="7">
        <f>IF(N357="ANAK",_xlfn.AGGREGATE(2,5,$B$275:B355)+1,"")</f>
        <v>8</v>
      </c>
      <c r="C357" s="42" t="s">
        <v>365</v>
      </c>
      <c r="D357" s="42"/>
      <c r="E357" s="42"/>
      <c r="F357" s="42"/>
      <c r="G357" s="42"/>
      <c r="H357" s="6" t="s">
        <v>369</v>
      </c>
      <c r="I357" s="6"/>
      <c r="J357" s="6"/>
      <c r="K357" s="6"/>
      <c r="L357" s="6"/>
      <c r="N357" s="5" t="s">
        <v>47</v>
      </c>
      <c r="O357" s="5"/>
    </row>
    <row r="358" spans="1:15" ht="14.4" customHeight="1" x14ac:dyDescent="0.3">
      <c r="A358" s="38"/>
      <c r="B358" s="38"/>
      <c r="C358" s="27" t="s">
        <v>366</v>
      </c>
      <c r="D358" s="27"/>
      <c r="E358" s="27"/>
      <c r="F358" s="27"/>
      <c r="G358" s="27"/>
      <c r="H358" s="5" t="s">
        <v>50</v>
      </c>
      <c r="I358" s="37" t="str">
        <f>F118</f>
        <v>Penampang Kompak</v>
      </c>
      <c r="J358" s="37"/>
      <c r="K358" s="6"/>
      <c r="L358" s="6"/>
    </row>
    <row r="359" spans="1:15" ht="15.6" customHeight="1" x14ac:dyDescent="0.3">
      <c r="A359" s="38"/>
      <c r="B359" s="38"/>
      <c r="C359" s="27" t="s">
        <v>367</v>
      </c>
      <c r="D359" s="27"/>
      <c r="E359" s="27"/>
      <c r="F359" s="27"/>
      <c r="G359" s="5" t="s">
        <v>169</v>
      </c>
      <c r="H359" s="5" t="s">
        <v>50</v>
      </c>
      <c r="I359" s="6" t="str" cm="1">
        <f t="array" ref="I359">_xlfn.IFS(I358="Penampang Kompak","Tidak berlaku",I358="Penampang Tak Kompak","Rpc.Myc-(Rpc.Myc-FL.Sx).(λf-λpf)/(λr-λp)",I358="Penampang Langsing","0,9.E.kc.Sx/λf^2")</f>
        <v>Tidak berlaku</v>
      </c>
      <c r="J359" s="6"/>
      <c r="K359" s="6"/>
      <c r="L359" s="18" t="str" cm="1">
        <f t="array" ref="L359">_xlfn.IFS(I358="Penampang Kompak","",I358="Penampang Tak Kompak","(F4-13)",I358="Penampang Langsing","(F4-14)")</f>
        <v/>
      </c>
    </row>
    <row r="360" spans="1:15" ht="14.4" customHeight="1" x14ac:dyDescent="0.3">
      <c r="A360" s="38"/>
      <c r="B360" s="38"/>
      <c r="C360" s="38"/>
      <c r="D360" s="38"/>
      <c r="E360" s="38"/>
      <c r="F360" s="38"/>
      <c r="G360" s="38"/>
      <c r="H360" s="5" t="s">
        <v>50</v>
      </c>
      <c r="I360" s="10" t="str" cm="1">
        <f t="array" ref="I360">IF(AND(F118="Penampang Tak Kompak",F128="Penampang Langsing"),"Tidak berlaku",IF(AND(F118="Penampang Langsing",F128="Penampang Langsing"),"Tidak berlaku",_xlfn.IFS(I358="Penampang Kompak","Tidak berlaku",I358="Penampang Tak Kompak",(I348*10^6-(I348*10^6-I304*E33)*(I112-I114)/(I116-I114))/10^6,I358="Penampang Langsing",(0.9*E38*I293*E33/I112^2)/10^6)))</f>
        <v>Tidak berlaku</v>
      </c>
      <c r="J360" s="15" t="str">
        <f>IF(I360="Tidak berlaku","","kNm")</f>
        <v/>
      </c>
      <c r="K360" s="6"/>
      <c r="L360" s="6"/>
    </row>
    <row r="361" spans="1:15" ht="14.4" customHeight="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</row>
    <row r="362" spans="1:15" ht="15.6" customHeight="1" x14ac:dyDescent="0.3">
      <c r="A362" s="7" t="str" cm="1">
        <f t="array" aca="1" ref="A362" ca="1">IF(AND(EXACT(M362,"SUBBAB"),SUBTOTAL(103,OFFSET(M362,0,0))),CHAR(64+SUMPRODUCT((EXACT(M$4:M362,"SUBBAB"))*SUBTOTAL(103,OFFSET(M$4,ROW(M$4:M362)-ROW(M$4),0)))),"")</f>
        <v/>
      </c>
      <c r="B362" s="7">
        <f>IF(N362="ANAK",_xlfn.AGGREGATE(2,5,$B$275:B360)+1,"")</f>
        <v>9</v>
      </c>
      <c r="C362" s="42" t="s">
        <v>374</v>
      </c>
      <c r="D362" s="42"/>
      <c r="E362" s="42"/>
      <c r="F362" s="42"/>
      <c r="G362" s="42"/>
      <c r="H362" s="6" t="s">
        <v>369</v>
      </c>
      <c r="I362" s="6"/>
      <c r="J362" s="6"/>
      <c r="K362" s="6"/>
      <c r="L362" s="6"/>
      <c r="N362" s="5" t="s">
        <v>47</v>
      </c>
      <c r="O362" s="5"/>
    </row>
    <row r="363" spans="1:15" ht="15.6" customHeight="1" x14ac:dyDescent="0.3">
      <c r="A363" s="38"/>
      <c r="B363" s="38"/>
      <c r="C363" s="27" t="s">
        <v>375</v>
      </c>
      <c r="D363" s="27"/>
      <c r="E363" s="27"/>
      <c r="F363" s="27"/>
      <c r="G363" s="5" t="s">
        <v>169</v>
      </c>
      <c r="H363" s="5" t="s">
        <v>50</v>
      </c>
      <c r="I363" s="5" t="s">
        <v>376</v>
      </c>
      <c r="J363" s="6" t="s">
        <v>343</v>
      </c>
      <c r="K363" s="6"/>
      <c r="L363" s="6"/>
    </row>
    <row r="364" spans="1:15" x14ac:dyDescent="0.3">
      <c r="A364" s="38"/>
      <c r="B364" s="38"/>
      <c r="C364" s="38"/>
      <c r="D364" s="38"/>
      <c r="E364" s="38"/>
      <c r="F364" s="38"/>
      <c r="G364" s="38"/>
      <c r="H364" s="5" t="s">
        <v>50</v>
      </c>
      <c r="I364" s="10">
        <f>IF(AND(F118="Penampang Kompak",F128="Penampang Langsing"),"Tidak berlaku",IF(AND(F118="Penampang Tak Kompak",F128="Penampang Langsing"),"Tidak berlaku",IF(AND(F118="Penampang Langsing",F128="Penampang Langsing"),"Tidak berlaku",I313*I309)))</f>
        <v>21.206651442149678</v>
      </c>
      <c r="J364" s="15" t="s">
        <v>61</v>
      </c>
      <c r="K364" s="6"/>
      <c r="L364" s="6"/>
    </row>
    <row r="365" spans="1:15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</row>
    <row r="366" spans="1:15" ht="15.6" customHeight="1" x14ac:dyDescent="0.3">
      <c r="A366" s="7" t="str" cm="1">
        <f t="array" aca="1" ref="A366" ca="1">IF(AND(EXACT(M366,"SUBBAB"),SUBTOTAL(103,OFFSET(M366,0,0))),CHAR(64+SUMPRODUCT((EXACT(M$4:M366,"SUBBAB"))*SUBTOTAL(103,OFFSET(M$4,ROW(M$4:M366)-ROW(M$4),0)))),"")</f>
        <v/>
      </c>
      <c r="B366" s="7">
        <f>IF(N366="ANAK",_xlfn.AGGREGATE(2,5,$B$275:B364)+1,"")</f>
        <v>10</v>
      </c>
      <c r="C366" s="42" t="s">
        <v>368</v>
      </c>
      <c r="D366" s="42"/>
      <c r="E366" s="42"/>
      <c r="F366" s="42"/>
      <c r="G366" s="42"/>
      <c r="H366" s="6" t="s">
        <v>377</v>
      </c>
      <c r="I366" s="6"/>
      <c r="J366" s="6"/>
      <c r="K366" s="6"/>
      <c r="L366" s="6"/>
      <c r="N366" s="5" t="s">
        <v>47</v>
      </c>
      <c r="O366" s="5"/>
    </row>
    <row r="367" spans="1:15" ht="15.6" customHeight="1" x14ac:dyDescent="0.3">
      <c r="A367" s="38"/>
      <c r="B367" s="38"/>
      <c r="C367" s="27" t="s">
        <v>370</v>
      </c>
      <c r="D367" s="27"/>
      <c r="E367" s="27"/>
      <c r="F367" s="27"/>
      <c r="G367" s="5" t="s">
        <v>169</v>
      </c>
      <c r="H367" s="5" t="s">
        <v>50</v>
      </c>
      <c r="I367" s="5" t="s">
        <v>378</v>
      </c>
      <c r="J367" s="6" t="s">
        <v>379</v>
      </c>
      <c r="K367" s="6"/>
      <c r="L367" s="6"/>
    </row>
    <row r="368" spans="1:15" ht="14.4" customHeight="1" x14ac:dyDescent="0.3">
      <c r="A368" s="38"/>
      <c r="B368" s="38"/>
      <c r="C368" s="38"/>
      <c r="D368" s="38"/>
      <c r="E368" s="38"/>
      <c r="F368" s="38"/>
      <c r="G368" s="38"/>
      <c r="H368" s="5" t="s">
        <v>50</v>
      </c>
      <c r="I368" s="10" t="str">
        <f>IF(AND(F118="Penampang Kompak",F128="Penampang Kompak"),"Tidak berlaku",IF(AND(F118="Penampang Tak Kompak",F128="Penampang Kompak"),"Tidak berlaku",IF(AND(F118="Penampang Langsing",F128="Penampang Kompak"),"Tidak berlaku",IF(AND(F118="Penampang Kompak",F128="Penampang Tak Kompak"),"Tidak berlaku",IF(AND(F118="Penampang Tak Kompak",F128="Penampang Tak Kompak"),"Tidak berlaku",IF(AND(F118="Penampang Langsing",F128="Penampang Tak Kompak"),"Tidak berlaku",I321*E15*E33/10^6))))))</f>
        <v>Tidak berlaku</v>
      </c>
      <c r="J368" s="15" t="s">
        <v>61</v>
      </c>
      <c r="K368" s="6"/>
      <c r="L368" s="6"/>
    </row>
    <row r="369" spans="1:15" ht="14.4" customHeight="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</row>
    <row r="370" spans="1:15" ht="15.6" customHeight="1" x14ac:dyDescent="0.3">
      <c r="A370" s="7" t="str" cm="1">
        <f t="array" aca="1" ref="A370" ca="1">IF(AND(EXACT(M370,"SUBBAB"),SUBTOTAL(103,OFFSET(M370,0,0))),CHAR(64+SUMPRODUCT((EXACT(M$4:M370,"SUBBAB"))*SUBTOTAL(103,OFFSET(M$4,ROW(M$4:M370)-ROW(M$4),0)))),"")</f>
        <v/>
      </c>
      <c r="B370" s="7">
        <f>IF(N370="ANAK",_xlfn.AGGREGATE(2,5,$B$275:B368)+1,"")</f>
        <v>11</v>
      </c>
      <c r="C370" s="42" t="s">
        <v>360</v>
      </c>
      <c r="D370" s="42"/>
      <c r="E370" s="42"/>
      <c r="F370" s="42"/>
      <c r="G370" s="42"/>
      <c r="H370" s="6" t="s">
        <v>377</v>
      </c>
      <c r="I370" s="6"/>
      <c r="J370" s="6"/>
      <c r="K370" s="6"/>
      <c r="L370" s="6"/>
      <c r="N370" s="5" t="s">
        <v>47</v>
      </c>
      <c r="O370" s="5"/>
    </row>
    <row r="371" spans="1:15" ht="14.4" customHeight="1" x14ac:dyDescent="0.3">
      <c r="A371" s="38"/>
      <c r="B371" s="38"/>
      <c r="C371" s="6" t="s">
        <v>361</v>
      </c>
      <c r="D371" s="6"/>
      <c r="E371" s="6" t="s">
        <v>50</v>
      </c>
      <c r="F371" s="6" t="str" cm="1">
        <f t="array" ref="F371">_xlfn.IFS(I280&lt;=I299,"Lb&lt;Lp",I280&lt;=I315,"Lp&lt;Lp&lt;Lr",I280&gt;I315,"Lb&gt;Lr")</f>
        <v>Lp&lt;Lp&lt;Lr</v>
      </c>
      <c r="G371" s="6"/>
      <c r="H371" s="6"/>
      <c r="I371" s="6"/>
      <c r="J371" s="6"/>
      <c r="K371" s="6"/>
      <c r="L371" s="6"/>
    </row>
    <row r="372" spans="1:15" ht="14.4" customHeight="1" x14ac:dyDescent="0.3">
      <c r="A372" s="38"/>
      <c r="B372" s="38"/>
      <c r="C372" s="38"/>
      <c r="D372" s="38"/>
      <c r="E372" s="5" t="s">
        <v>50</v>
      </c>
      <c r="F372" s="37" t="str" cm="1">
        <f t="array" ref="F372">_xlfn.IFS(I280&lt;=I299,"Tidak berlaku",I280&lt;=I315,"Menggunakan Pers. F5-3",I280&gt;I315,"Menggunakan Pers. F5-4")</f>
        <v>Menggunakan Pers. F5-3</v>
      </c>
      <c r="G372" s="37"/>
      <c r="H372" s="37"/>
      <c r="I372" s="37"/>
      <c r="J372" s="37"/>
      <c r="K372" s="37"/>
      <c r="L372" s="37"/>
    </row>
    <row r="373" spans="1:15" ht="15.6" customHeight="1" x14ac:dyDescent="0.3">
      <c r="A373" s="38"/>
      <c r="B373" s="38"/>
      <c r="C373" s="27" t="s">
        <v>380</v>
      </c>
      <c r="D373" s="27"/>
      <c r="E373" s="27"/>
      <c r="F373" s="27"/>
      <c r="G373" s="5" t="s">
        <v>243</v>
      </c>
      <c r="H373" s="5" t="s">
        <v>50</v>
      </c>
      <c r="I373" s="10">
        <f>IF(I317&lt;E15,I317,E15)</f>
        <v>244.54075040709893</v>
      </c>
      <c r="J373" s="6" t="s">
        <v>75</v>
      </c>
      <c r="K373" s="6" t="str">
        <f>IF(I317&lt;E15,"(F5-4)","")</f>
        <v>(F5-4)</v>
      </c>
      <c r="L373" s="6"/>
    </row>
    <row r="374" spans="1:15" ht="15.6" customHeight="1" x14ac:dyDescent="0.3">
      <c r="A374" s="38"/>
      <c r="B374" s="38"/>
      <c r="C374" s="27" t="s">
        <v>362</v>
      </c>
      <c r="D374" s="27"/>
      <c r="E374" s="27"/>
      <c r="F374" s="27"/>
      <c r="G374" s="5" t="s">
        <v>169</v>
      </c>
      <c r="H374" s="5" t="s">
        <v>50</v>
      </c>
      <c r="I374" s="5" t="str">
        <f>IF(I280&lt;=I299,"Tidak berlaku","Rpg.Fcr.Sx")</f>
        <v>Rpg.Fcr.Sx</v>
      </c>
      <c r="J374" s="6" t="s">
        <v>381</v>
      </c>
      <c r="K374" s="6"/>
      <c r="L374" s="6"/>
    </row>
    <row r="375" spans="1:15" ht="14.4" customHeight="1" x14ac:dyDescent="0.3">
      <c r="A375" s="38"/>
      <c r="B375" s="38"/>
      <c r="C375" s="38"/>
      <c r="D375" s="38"/>
      <c r="E375" s="38"/>
      <c r="F375" s="38"/>
      <c r="G375" s="38"/>
      <c r="H375" s="5" t="s">
        <v>50</v>
      </c>
      <c r="I375" s="10" t="str">
        <f>IF(AND(F118="Penampang Kompak",F128="Penampang Kompak"),"Tidak berlaku",IF(AND(F118="Penampang Tak Kompak",F128="Penampang Kompak"),"Tidak berlaku",IF(I280&lt;=I299,"Tidak berlaku",IF(AND(F118="Penampang Langsing",F128="Penampang Kompak"),"Tidak berlaku",IF(AND(F118="Penampang Kompak",F128="Penampang Tak Kompak"),"Tidak berlaku",IF(AND(F118="Penampang Tak Kompak",F128="Penampang Tak Kompak"),"Tidak berlaku",IF(AND(F118="Penampang Langsing",F128="Penampang Tak Kompak"),"Tidak berlaku",I321*I373*E33/10^6)))))))</f>
        <v>Tidak berlaku</v>
      </c>
      <c r="J375" s="15" t="str">
        <f>IF(I375="Tidak berlaku","","kNm")</f>
        <v/>
      </c>
      <c r="K375" s="6"/>
      <c r="L375" s="6"/>
    </row>
    <row r="376" spans="1:15" ht="14.4" customHeight="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</row>
    <row r="377" spans="1:15" ht="15.6" customHeight="1" x14ac:dyDescent="0.3">
      <c r="A377" s="7" t="str" cm="1">
        <f t="array" aca="1" ref="A377" ca="1">IF(AND(EXACT(M377,"SUBBAB"),SUBTOTAL(103,OFFSET(M377,0,0))),CHAR(64+SUMPRODUCT((EXACT(M$4:M377,"SUBBAB"))*SUBTOTAL(103,OFFSET(M$4,ROW(M$4:M377)-ROW(M$4),0)))),"")</f>
        <v/>
      </c>
      <c r="B377" s="7">
        <f>IF(N377="ANAK",_xlfn.AGGREGATE(2,5,$B$275:B375)+1,"")</f>
        <v>12</v>
      </c>
      <c r="C377" s="42" t="s">
        <v>365</v>
      </c>
      <c r="D377" s="42"/>
      <c r="E377" s="42"/>
      <c r="F377" s="42"/>
      <c r="G377" s="42"/>
      <c r="H377" s="6" t="s">
        <v>377</v>
      </c>
      <c r="I377" s="6"/>
      <c r="J377" s="6"/>
      <c r="K377" s="6"/>
      <c r="L377" s="6"/>
      <c r="N377" s="5" t="s">
        <v>47</v>
      </c>
      <c r="O377" s="5"/>
    </row>
    <row r="378" spans="1:15" ht="14.4" customHeight="1" x14ac:dyDescent="0.3">
      <c r="A378" s="38"/>
      <c r="B378" s="38"/>
      <c r="C378" s="6" t="s">
        <v>366</v>
      </c>
      <c r="D378" s="6"/>
      <c r="E378" s="6"/>
      <c r="F378" s="6"/>
      <c r="G378" s="6"/>
      <c r="H378" s="5" t="s">
        <v>50</v>
      </c>
      <c r="I378" s="37" t="str">
        <f>F118</f>
        <v>Penampang Kompak</v>
      </c>
      <c r="J378" s="37"/>
      <c r="K378" s="6"/>
      <c r="L378" s="6"/>
    </row>
    <row r="379" spans="1:15" ht="15.6" customHeight="1" x14ac:dyDescent="0.3">
      <c r="A379" s="38"/>
      <c r="B379" s="38"/>
      <c r="C379" s="27" t="s">
        <v>382</v>
      </c>
      <c r="D379" s="27"/>
      <c r="E379" s="27"/>
      <c r="F379" s="27"/>
      <c r="G379" s="5" t="s">
        <v>243</v>
      </c>
      <c r="H379" s="5" t="s">
        <v>50</v>
      </c>
      <c r="I379" s="6" t="str" cm="1">
        <f t="array" ref="I379">_xlfn.IFS(I378="Penampang Kompak","Tidak berlaku",I378="Penampang Tak Kompak","Fy-(0,3.Fy).(λf-λpf)/(λr-λp)",I378="Penampang Langsing","0,9.E.kc/λf^2")</f>
        <v>Tidak berlaku</v>
      </c>
      <c r="J379" s="6"/>
      <c r="K379" s="6" t="str" cm="1">
        <f t="array" ref="K379">_xlfn.IFS(I378="Penampang Kompak","",I378="Penampang Tak Kompak","(F5-8)",I378="Penampang Langsing","(F5-9)")</f>
        <v/>
      </c>
      <c r="L379" s="6"/>
    </row>
    <row r="380" spans="1:15" ht="14.4" customHeight="1" x14ac:dyDescent="0.3">
      <c r="A380" s="38"/>
      <c r="B380" s="38"/>
      <c r="C380" s="38"/>
      <c r="D380" s="38"/>
      <c r="E380" s="38"/>
      <c r="F380" s="38"/>
      <c r="G380" s="38"/>
      <c r="H380" s="5" t="s">
        <v>50</v>
      </c>
      <c r="I380" s="10" t="str" cm="1">
        <f t="array" ref="I380">_xlfn.IFS(I378="Penampang Kompak","Tidak berlaku",I378="Penampang Tak Kompak",E15-(0.3*E15)*(I112-I114)/(I116-I114),I378="Penampang Langsing",0.9*E38*I293/I112^2)</f>
        <v>Tidak berlaku</v>
      </c>
      <c r="J380" s="15" t="str">
        <f>IF(I380="Tidak berlaku","","MPa")</f>
        <v/>
      </c>
      <c r="K380" s="6"/>
      <c r="L380" s="6"/>
    </row>
    <row r="381" spans="1:15" ht="15.6" customHeight="1" x14ac:dyDescent="0.3">
      <c r="A381" s="38"/>
      <c r="B381" s="38"/>
      <c r="C381" s="27" t="s">
        <v>367</v>
      </c>
      <c r="D381" s="27"/>
      <c r="E381" s="27"/>
      <c r="F381" s="27"/>
      <c r="G381" s="5" t="s">
        <v>169</v>
      </c>
      <c r="H381" s="5" t="s">
        <v>50</v>
      </c>
      <c r="I381" s="5" t="str">
        <f>IF(I378="Penampang Kompak","Tidak berlaku","Rpg.Fcr.Sx")</f>
        <v>Tidak berlaku</v>
      </c>
      <c r="J381" s="6" t="str">
        <f>IF(I378="Penampang Kompak","","(F5-7)")</f>
        <v/>
      </c>
      <c r="K381" s="6"/>
      <c r="L381" s="6"/>
    </row>
    <row r="382" spans="1:15" ht="14.4" customHeight="1" x14ac:dyDescent="0.3">
      <c r="A382" s="38"/>
      <c r="B382" s="38"/>
      <c r="C382" s="38"/>
      <c r="D382" s="38"/>
      <c r="E382" s="38"/>
      <c r="F382" s="38"/>
      <c r="G382" s="38"/>
      <c r="H382" s="5" t="s">
        <v>50</v>
      </c>
      <c r="I382" s="10" t="str">
        <f>IF(AND(F118="Penampang Tak Kompak",F128="Penampang Kompak"),"Tidak berlaku",IF(I378="Penampang Kompak","Tidak berlaku",IF(AND(F118="Penampang Langsing",F128="Penampang Kompak"),"Tidak berlaku",IF(AND(F118="Penampang Tak Kompak",F128="Penampang Tak Kompak"),"Tidak berlaku",IF(AND(F118="Penampang Langsing",F128="Penampang Tak Kompak"),"Tidak berlaku",I321*I380*E33/10^6)))))</f>
        <v>Tidak berlaku</v>
      </c>
      <c r="J382" s="15" t="str">
        <f>IF(I382="Tidak berlaku","","kNm")</f>
        <v/>
      </c>
      <c r="K382" s="6"/>
      <c r="L382" s="6"/>
    </row>
    <row r="383" spans="1:15" ht="14.4" customHeight="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</row>
    <row r="384" spans="1:15" ht="15.6" customHeight="1" x14ac:dyDescent="0.3">
      <c r="A384" s="7" t="str" cm="1">
        <f t="array" aca="1" ref="A384" ca="1">IF(AND(EXACT(M384,"SUBBAB"),SUBTOTAL(103,OFFSET(M384,0,0))),CHAR(64+SUMPRODUCT((EXACT(M$4:M384,"SUBBAB"))*SUBTOTAL(103,OFFSET(M$4,ROW(M$4:M384)-ROW(M$4),0)))),"")</f>
        <v/>
      </c>
      <c r="B384" s="7">
        <f>IF(N384="ANAK",_xlfn.AGGREGATE(2,5,$B$275:B382)+1,"")</f>
        <v>13</v>
      </c>
      <c r="C384" s="42" t="s">
        <v>374</v>
      </c>
      <c r="D384" s="42"/>
      <c r="E384" s="42"/>
      <c r="F384" s="42"/>
      <c r="G384" s="42"/>
      <c r="H384" s="6" t="s">
        <v>377</v>
      </c>
      <c r="I384" s="6"/>
      <c r="J384" s="6"/>
      <c r="K384" s="6"/>
      <c r="L384" s="6"/>
      <c r="N384" s="5" t="s">
        <v>47</v>
      </c>
      <c r="O384" s="5"/>
    </row>
    <row r="385" spans="1:15" ht="15.6" customHeight="1" x14ac:dyDescent="0.3">
      <c r="A385" s="38"/>
      <c r="B385" s="38"/>
      <c r="C385" s="27" t="s">
        <v>375</v>
      </c>
      <c r="D385" s="27"/>
      <c r="E385" s="27"/>
      <c r="F385" s="27"/>
      <c r="G385" s="5" t="s">
        <v>169</v>
      </c>
      <c r="H385" s="5" t="s">
        <v>50</v>
      </c>
      <c r="I385" s="5" t="s">
        <v>339</v>
      </c>
      <c r="J385" s="6" t="s">
        <v>383</v>
      </c>
      <c r="K385" s="6"/>
      <c r="L385" s="6"/>
    </row>
    <row r="386" spans="1:15" ht="14.4" customHeight="1" x14ac:dyDescent="0.3">
      <c r="A386" s="38"/>
      <c r="B386" s="38"/>
      <c r="C386" s="38"/>
      <c r="D386" s="38"/>
      <c r="E386" s="38"/>
      <c r="F386" s="38"/>
      <c r="G386" s="38"/>
      <c r="H386" s="5" t="s">
        <v>50</v>
      </c>
      <c r="I386" s="10" t="str">
        <f>IF(AND(F118="Penampang Kompak",F128="Penampang Kompak"),"Tidak berlaku",IF(AND(F118="Penampang Tak Kompak",F128="Penampang Kompak"),"Tidak berlaku",IF(AND(F118="Penampang Langsing",F128="Penampang Kompak"),"Tidak berlaku",IF(AND(F118="Penampang Kompak",F128="Penampang Tak Kompak"),"Tidak berlaku",IF(AND(F118="Penampang Tak Kompak",F128="Penampang Tak Kompak"),"Tidak berlaku",IF(AND(F118="Penampang Langsing",F128="Penampang Tak Kompak"),"Tidak berlaku",E15*E33/10^6))))))</f>
        <v>Tidak berlaku</v>
      </c>
      <c r="J386" s="6" t="s">
        <v>61</v>
      </c>
      <c r="K386" s="6"/>
      <c r="L386" s="6"/>
    </row>
    <row r="387" spans="1:15" ht="14.4" customHeight="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</row>
    <row r="388" spans="1:15" x14ac:dyDescent="0.3">
      <c r="A388" s="7" t="str" cm="1">
        <f t="array" aca="1" ref="A388" ca="1">IF(AND(EXACT(M388,"SUBBAB"),SUBTOTAL(103,OFFSET(M388,0,0))),CHAR(64+SUMPRODUCT((EXACT(M$4:M388,"SUBBAB"))*SUBTOTAL(103,OFFSET(M$4,ROW(M$4:M388)-ROW(M$4),0)))),"")</f>
        <v>F</v>
      </c>
      <c r="B388" s="42" t="s">
        <v>384</v>
      </c>
      <c r="C388" s="42"/>
      <c r="D388" s="42"/>
      <c r="E388" s="42"/>
      <c r="F388" s="42"/>
      <c r="G388" s="42"/>
      <c r="H388" s="38" t="s">
        <v>159</v>
      </c>
      <c r="I388" s="38"/>
      <c r="J388" s="38"/>
      <c r="K388" s="38"/>
      <c r="L388" s="38"/>
      <c r="M388" s="5" t="s">
        <v>45</v>
      </c>
    </row>
    <row r="389" spans="1:15" ht="15.6" customHeight="1" x14ac:dyDescent="0.3">
      <c r="A389" s="7" t="str" cm="1">
        <f t="array" aca="1" ref="A389" ca="1">IF(AND(EXACT(M389,"SUBBAB"),SUBTOTAL(103,OFFSET(M389,0,0))),CHAR(64+SUMPRODUCT((EXACT(M$4:M389,"SUBBAB"))*SUBTOTAL(103,OFFSET(M$4,ROW(M$4:M389)-ROW(M$4),0)))),"")</f>
        <v/>
      </c>
      <c r="B389" s="7">
        <f>IF(N389="ANAK",_xlfn.AGGREGATE(2,5,$B$388:B388)+1,"")</f>
        <v>1</v>
      </c>
      <c r="C389" s="42" t="s">
        <v>354</v>
      </c>
      <c r="D389" s="42"/>
      <c r="E389" s="42"/>
      <c r="F389" s="42"/>
      <c r="G389" s="42"/>
      <c r="H389" s="6" t="s">
        <v>385</v>
      </c>
      <c r="I389" s="6"/>
      <c r="J389" s="6"/>
      <c r="K389" s="6"/>
      <c r="L389" s="6"/>
      <c r="N389" s="5" t="s">
        <v>47</v>
      </c>
      <c r="O389" s="5"/>
    </row>
    <row r="390" spans="1:15" ht="15.6" customHeight="1" x14ac:dyDescent="0.3">
      <c r="A390" s="38"/>
      <c r="B390" s="38"/>
      <c r="C390" s="27" t="s">
        <v>356</v>
      </c>
      <c r="D390" s="27"/>
      <c r="E390" s="27"/>
      <c r="F390" s="27"/>
      <c r="G390" s="5" t="s">
        <v>357</v>
      </c>
      <c r="H390" s="5" t="s">
        <v>50</v>
      </c>
      <c r="I390" s="5" t="s">
        <v>386</v>
      </c>
      <c r="J390" s="6" t="s">
        <v>387</v>
      </c>
      <c r="K390" s="6"/>
      <c r="L390" s="6"/>
      <c r="N390" s="5"/>
      <c r="O390" s="5"/>
    </row>
    <row r="391" spans="1:15" x14ac:dyDescent="0.3">
      <c r="A391" s="38"/>
      <c r="B391" s="38"/>
      <c r="C391" s="38"/>
      <c r="D391" s="38"/>
      <c r="E391" s="38"/>
      <c r="F391" s="38"/>
      <c r="G391" s="38"/>
      <c r="H391" s="5" t="s">
        <v>50</v>
      </c>
      <c r="I391" s="10">
        <f>E15*E36/10^6</f>
        <v>10.6</v>
      </c>
      <c r="J391" s="6" t="s">
        <v>61</v>
      </c>
      <c r="K391" s="6"/>
      <c r="L391" s="6"/>
      <c r="N391" s="5"/>
      <c r="O391" s="5"/>
    </row>
    <row r="392" spans="1:15" ht="15.6" customHeight="1" x14ac:dyDescent="0.3">
      <c r="A392" s="38"/>
      <c r="B392" s="38"/>
      <c r="C392" s="27" t="s">
        <v>388</v>
      </c>
      <c r="D392" s="27"/>
      <c r="E392" s="27"/>
      <c r="F392" s="27"/>
      <c r="G392" s="5" t="s">
        <v>389</v>
      </c>
      <c r="H392" s="5" t="s">
        <v>50</v>
      </c>
      <c r="I392" s="10">
        <f>1.6*E15*E34/10^6</f>
        <v>10.678762666666666</v>
      </c>
      <c r="J392" s="6" t="s">
        <v>61</v>
      </c>
      <c r="K392" s="6" t="s">
        <v>387</v>
      </c>
      <c r="L392" s="6"/>
      <c r="N392" s="5"/>
      <c r="O392" s="5"/>
    </row>
    <row r="393" spans="1:15" ht="15.6" customHeight="1" x14ac:dyDescent="0.3">
      <c r="A393" s="38"/>
      <c r="B393" s="38"/>
      <c r="C393" s="27" t="s">
        <v>390</v>
      </c>
      <c r="D393" s="27"/>
      <c r="E393" s="27"/>
      <c r="F393" s="27"/>
      <c r="G393" s="5" t="s">
        <v>169</v>
      </c>
      <c r="H393" s="5" t="s">
        <v>50</v>
      </c>
      <c r="I393" s="10">
        <f>IF(I391&lt;I392,I391,I392)</f>
        <v>10.6</v>
      </c>
      <c r="J393" s="15" t="s">
        <v>61</v>
      </c>
      <c r="K393" s="6" t="s">
        <v>387</v>
      </c>
      <c r="L393" s="6"/>
      <c r="N393" s="5"/>
      <c r="O393" s="5"/>
    </row>
    <row r="394" spans="1:15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</row>
    <row r="395" spans="1:15" ht="15.6" customHeight="1" x14ac:dyDescent="0.3">
      <c r="A395" s="7" t="str" cm="1">
        <f t="array" aca="1" ref="A395" ca="1">IF(AND(EXACT(M395,"SUBBAB"),SUBTOTAL(103,OFFSET(M395,0,0))),CHAR(64+SUMPRODUCT((EXACT(M$4:M395,"SUBBAB"))*SUBTOTAL(103,OFFSET(M$4,ROW(M$4:M395)-ROW(M$4),0)))),"")</f>
        <v/>
      </c>
      <c r="B395" s="7">
        <f>IF(N395="ANAK",_xlfn.AGGREGATE(2,5,$B$388:B394)+1,"")</f>
        <v>2</v>
      </c>
      <c r="C395" s="42" t="s">
        <v>365</v>
      </c>
      <c r="D395" s="42"/>
      <c r="E395" s="42"/>
      <c r="F395" s="42"/>
      <c r="G395" s="42"/>
      <c r="H395" s="6" t="s">
        <v>385</v>
      </c>
      <c r="I395" s="6"/>
      <c r="J395" s="6"/>
      <c r="K395" s="6"/>
      <c r="L395" s="6"/>
      <c r="N395" s="5" t="s">
        <v>47</v>
      </c>
      <c r="O395" s="5"/>
    </row>
    <row r="396" spans="1:15" ht="14.4" customHeight="1" x14ac:dyDescent="0.3">
      <c r="A396" s="38"/>
      <c r="B396" s="38"/>
      <c r="C396" s="27" t="s">
        <v>366</v>
      </c>
      <c r="D396" s="27"/>
      <c r="E396" s="27"/>
      <c r="F396" s="27"/>
      <c r="G396" s="27"/>
      <c r="H396" s="5" t="s">
        <v>50</v>
      </c>
      <c r="I396" s="37" t="str">
        <f>F118</f>
        <v>Penampang Kompak</v>
      </c>
      <c r="J396" s="37"/>
      <c r="K396" s="6"/>
      <c r="L396" s="6"/>
    </row>
    <row r="397" spans="1:15" ht="15.6" customHeight="1" x14ac:dyDescent="0.3">
      <c r="A397" s="38"/>
      <c r="B397" s="38"/>
      <c r="C397" s="27" t="s">
        <v>382</v>
      </c>
      <c r="D397" s="27"/>
      <c r="E397" s="27"/>
      <c r="F397" s="27"/>
      <c r="G397" s="5" t="s">
        <v>243</v>
      </c>
      <c r="H397" s="5" t="s">
        <v>50</v>
      </c>
      <c r="I397" s="6" t="str">
        <f>IF(I396="Penampang Kompak","Tidak berlaku","0,69.E/(0,5.bf/tf)^2")</f>
        <v>Tidak berlaku</v>
      </c>
      <c r="J397" s="6"/>
      <c r="K397" s="6" t="str">
        <f>IF(I396="Penampang Kompak","","(F6-4)")</f>
        <v/>
      </c>
      <c r="L397" s="6"/>
    </row>
    <row r="398" spans="1:15" ht="14.4" customHeight="1" x14ac:dyDescent="0.3">
      <c r="A398" s="38"/>
      <c r="B398" s="38"/>
      <c r="C398" s="38"/>
      <c r="D398" s="38"/>
      <c r="E398" s="38"/>
      <c r="F398" s="38"/>
      <c r="G398" s="38"/>
      <c r="H398" s="5" t="s">
        <v>50</v>
      </c>
      <c r="I398" s="5" t="str">
        <f>IF(I396="Penampang Kompak","Tidak berlaku",0.69*E38/(0.5*E22/E24)^2)</f>
        <v>Tidak berlaku</v>
      </c>
      <c r="J398" s="15" t="str">
        <f>IF(I398="Tidak berlaku","","MPa")</f>
        <v/>
      </c>
      <c r="K398" s="6"/>
      <c r="L398" s="6"/>
    </row>
    <row r="399" spans="1:15" ht="15.6" customHeight="1" x14ac:dyDescent="0.3">
      <c r="A399" s="38"/>
      <c r="B399" s="38"/>
      <c r="C399" s="27" t="s">
        <v>367</v>
      </c>
      <c r="D399" s="27"/>
      <c r="E399" s="27"/>
      <c r="F399" s="27"/>
      <c r="G399" s="5" t="s">
        <v>169</v>
      </c>
      <c r="H399" s="5" t="s">
        <v>50</v>
      </c>
      <c r="I399" s="6" t="str" cm="1">
        <f t="array" ref="I399">_xlfn.IFS(I396="Penampang Kompak","Tidak berlaku",I396="Penampang Tak Kompak","Mp-(Mp-0,7.Fy.Sy).(λf-λpf)/(λr-λp)",I396="Penampang Langsing","Fcr.Sy")</f>
        <v>Tidak berlaku</v>
      </c>
      <c r="J399" s="6"/>
      <c r="K399" s="6"/>
      <c r="L399" s="18" t="s">
        <v>391</v>
      </c>
    </row>
    <row r="400" spans="1:15" ht="14.4" customHeight="1" x14ac:dyDescent="0.3">
      <c r="A400" s="38"/>
      <c r="B400" s="38"/>
      <c r="C400" s="38"/>
      <c r="D400" s="38"/>
      <c r="E400" s="38"/>
      <c r="F400" s="38"/>
      <c r="G400" s="38"/>
      <c r="H400" s="5" t="s">
        <v>50</v>
      </c>
      <c r="I400" s="10" t="str" cm="1">
        <f t="array" ref="I400">_xlfn.IFS(I396="Penampang Kompak","Tidak berlaku",I396="Penampang Tak Kompak",(I393*10^6-(I393*10^6-0.7*E15*E34)*(I112-I114)/(I116-I114))/10^6,I396="Penampang Langsing",I398*E34/10^6)</f>
        <v>Tidak berlaku</v>
      </c>
      <c r="J400" s="15" t="str">
        <f>IF(I400="Tidak berlaku","","kNm")</f>
        <v/>
      </c>
      <c r="K400" s="6"/>
      <c r="L400" s="6"/>
    </row>
    <row r="401" spans="1:15" ht="14.4" customHeight="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</row>
    <row r="402" spans="1:15" x14ac:dyDescent="0.3">
      <c r="A402" s="7" t="str" cm="1">
        <f t="array" aca="1" ref="A402" ca="1">IF(AND(EXACT(M402,"SUBBAB"),SUBTOTAL(103,OFFSET(M402,0,0))),CHAR(64+SUMPRODUCT((EXACT(M$4:M402,"SUBBAB"))*SUBTOTAL(103,OFFSET(M$4,ROW(M$4:M402)-ROW(M$4),0)))),"")</f>
        <v>G</v>
      </c>
      <c r="B402" s="42" t="s">
        <v>178</v>
      </c>
      <c r="C402" s="42"/>
      <c r="D402" s="42"/>
      <c r="E402" s="42"/>
      <c r="F402" s="42"/>
      <c r="G402" s="42"/>
      <c r="H402" s="38" t="s">
        <v>179</v>
      </c>
      <c r="I402" s="38"/>
      <c r="J402" s="38"/>
      <c r="K402" s="38"/>
      <c r="L402" s="38"/>
      <c r="M402" s="5" t="s">
        <v>45</v>
      </c>
    </row>
    <row r="403" spans="1:15" x14ac:dyDescent="0.3">
      <c r="A403" s="7" t="str" cm="1">
        <f t="array" aca="1" ref="A403" ca="1">IF(AND(EXACT(M403,"SUBBAB"),SUBTOTAL(103,OFFSET(M403,0,0))),CHAR(64+SUMPRODUCT((EXACT(M$4:M403,"SUBBAB"))*SUBTOTAL(103,OFFSET(M$4,ROW(M$4:M403)-ROW(M$4),0)))),"")</f>
        <v/>
      </c>
      <c r="B403" s="7">
        <f>IF(N403="ANAK",_xlfn.AGGREGATE(2,5,$B$402:B402)+1,"")</f>
        <v>1</v>
      </c>
      <c r="C403" s="42" t="s">
        <v>392</v>
      </c>
      <c r="D403" s="42"/>
      <c r="E403" s="42"/>
      <c r="F403" s="42"/>
      <c r="G403" s="42"/>
      <c r="H403" s="6"/>
      <c r="I403" s="6"/>
      <c r="J403" s="6"/>
      <c r="K403" s="6"/>
      <c r="L403" s="6"/>
      <c r="N403" s="5" t="s">
        <v>47</v>
      </c>
      <c r="O403" s="5"/>
    </row>
    <row r="404" spans="1:15" x14ac:dyDescent="0.3">
      <c r="A404" s="38"/>
      <c r="B404" s="38"/>
      <c r="C404" s="27" t="s">
        <v>393</v>
      </c>
      <c r="D404" s="27"/>
      <c r="E404" s="27"/>
      <c r="F404" s="27"/>
      <c r="G404" s="27"/>
      <c r="H404" s="5" t="s">
        <v>50</v>
      </c>
      <c r="I404" s="28" t="str">
        <f>IF(I7=0,"Tidak Ada","Ada")</f>
        <v>Tidak Ada</v>
      </c>
      <c r="J404" s="6"/>
      <c r="K404" s="6"/>
      <c r="L404" s="6"/>
    </row>
    <row r="405" spans="1:15" x14ac:dyDescent="0.3">
      <c r="A405" s="38"/>
      <c r="B405" s="38"/>
      <c r="C405" s="27" t="s">
        <v>394</v>
      </c>
      <c r="D405" s="27"/>
      <c r="E405" s="27"/>
      <c r="F405" s="27"/>
      <c r="G405" s="5" t="s">
        <v>211</v>
      </c>
      <c r="H405" s="5" t="s">
        <v>50</v>
      </c>
      <c r="I405" s="28" t="s">
        <v>395</v>
      </c>
      <c r="J405" s="6"/>
      <c r="K405" s="6"/>
      <c r="L405" s="6"/>
    </row>
    <row r="406" spans="1:15" x14ac:dyDescent="0.3">
      <c r="A406" s="38"/>
      <c r="B406" s="38"/>
      <c r="C406" s="38"/>
      <c r="D406" s="38"/>
      <c r="E406" s="38"/>
      <c r="F406" s="38"/>
      <c r="G406" s="38"/>
      <c r="H406" s="5" t="s">
        <v>50</v>
      </c>
      <c r="I406" s="10">
        <f>IF(I7=0,0,I7-E23)</f>
        <v>0</v>
      </c>
      <c r="J406" s="15" t="s">
        <v>3</v>
      </c>
      <c r="K406" s="6"/>
      <c r="L406" s="6"/>
    </row>
    <row r="407" spans="1:15" ht="15.6" customHeight="1" x14ac:dyDescent="0.3">
      <c r="A407" s="38"/>
      <c r="B407" s="38"/>
      <c r="C407" s="27" t="s">
        <v>396</v>
      </c>
      <c r="D407" s="27"/>
      <c r="E407" s="27"/>
      <c r="F407" s="27"/>
      <c r="G407" s="5" t="s">
        <v>397</v>
      </c>
      <c r="H407" s="5" t="s">
        <v>50</v>
      </c>
      <c r="I407" s="20">
        <f>E21/E23</f>
        <v>16.666666666666668</v>
      </c>
      <c r="J407" s="6" t="s">
        <v>398</v>
      </c>
      <c r="K407" s="6"/>
      <c r="L407" s="6"/>
    </row>
    <row r="408" spans="1:15" ht="15.6" customHeight="1" x14ac:dyDescent="0.3">
      <c r="A408" s="38"/>
      <c r="B408" s="38"/>
      <c r="C408" s="27" t="s">
        <v>399</v>
      </c>
      <c r="D408" s="27"/>
      <c r="E408" s="27"/>
      <c r="F408" s="27"/>
      <c r="G408" s="5" t="s">
        <v>400</v>
      </c>
      <c r="H408" s="5" t="s">
        <v>50</v>
      </c>
      <c r="I408" s="28" t="s">
        <v>401</v>
      </c>
      <c r="J408" s="6" t="s">
        <v>402</v>
      </c>
      <c r="K408" s="6"/>
      <c r="L408" s="6"/>
    </row>
    <row r="409" spans="1:15" ht="16.2" x14ac:dyDescent="0.3">
      <c r="A409" s="38"/>
      <c r="B409" s="38"/>
      <c r="C409" s="38"/>
      <c r="D409" s="38"/>
      <c r="E409" s="38"/>
      <c r="F409" s="38"/>
      <c r="G409" s="38"/>
      <c r="H409" s="5" t="s">
        <v>50</v>
      </c>
      <c r="I409" s="10">
        <f>E21*E23</f>
        <v>600</v>
      </c>
      <c r="J409" s="15" t="s">
        <v>89</v>
      </c>
      <c r="K409" s="6"/>
      <c r="L409" s="6"/>
    </row>
    <row r="410" spans="1:15" ht="15.6" customHeight="1" x14ac:dyDescent="0.3">
      <c r="A410" s="38"/>
      <c r="B410" s="38"/>
      <c r="C410" s="27" t="s">
        <v>403</v>
      </c>
      <c r="D410" s="27"/>
      <c r="E410" s="27"/>
      <c r="F410" s="27"/>
      <c r="G410" s="5" t="s">
        <v>404</v>
      </c>
      <c r="H410" s="5" t="s">
        <v>50</v>
      </c>
      <c r="I410" s="10">
        <f>IF(I404="Ya",5+5/(I406/E21)^2,5)</f>
        <v>5</v>
      </c>
      <c r="J410" s="6" t="s">
        <v>405</v>
      </c>
      <c r="K410" s="6"/>
      <c r="L410" s="6"/>
      <c r="N410" s="5"/>
      <c r="O410" s="5"/>
    </row>
    <row r="411" spans="1:15" ht="15.6" customHeight="1" x14ac:dyDescent="0.3">
      <c r="A411" s="38"/>
      <c r="B411" s="38"/>
      <c r="C411" s="27" t="s">
        <v>145</v>
      </c>
      <c r="D411" s="27"/>
      <c r="E411" s="27"/>
      <c r="F411" s="27"/>
      <c r="G411" s="5" t="s">
        <v>153</v>
      </c>
      <c r="H411" s="5" t="s">
        <v>50</v>
      </c>
      <c r="I411" s="10">
        <f>E21/E23</f>
        <v>16.666666666666668</v>
      </c>
      <c r="J411" s="6" t="s">
        <v>402</v>
      </c>
      <c r="K411" s="6"/>
      <c r="L411" s="6"/>
    </row>
    <row r="412" spans="1:15" ht="15.6" customHeight="1" x14ac:dyDescent="0.3">
      <c r="A412" s="38"/>
      <c r="B412" s="38"/>
      <c r="C412" s="6" t="s">
        <v>406</v>
      </c>
      <c r="D412" s="6"/>
      <c r="E412" s="6"/>
      <c r="F412" s="6"/>
      <c r="G412" s="35" t="s">
        <v>407</v>
      </c>
      <c r="H412" s="5" t="s">
        <v>50</v>
      </c>
      <c r="I412" s="21">
        <f>1.1*SQRT(I410*E38/E15)</f>
        <v>69.570108523704349</v>
      </c>
      <c r="J412" s="6" t="s">
        <v>402</v>
      </c>
      <c r="K412" s="6"/>
      <c r="L412" s="6"/>
    </row>
    <row r="413" spans="1:15" ht="15.6" customHeight="1" x14ac:dyDescent="0.3">
      <c r="A413" s="38"/>
      <c r="B413" s="38"/>
      <c r="C413" s="6" t="s">
        <v>145</v>
      </c>
      <c r="D413" s="6"/>
      <c r="E413" s="6"/>
      <c r="F413" s="6"/>
      <c r="G413" s="5" t="s">
        <v>153</v>
      </c>
      <c r="H413" s="5" t="s">
        <v>50</v>
      </c>
      <c r="I413" s="10">
        <f>E21/E23</f>
        <v>16.666666666666668</v>
      </c>
      <c r="J413" s="6" t="s">
        <v>408</v>
      </c>
      <c r="K413" s="6"/>
      <c r="L413" s="6"/>
      <c r="N413" s="5"/>
      <c r="O413" s="5"/>
    </row>
    <row r="414" spans="1:15" ht="15.6" customHeight="1" x14ac:dyDescent="0.3">
      <c r="A414" s="38"/>
      <c r="B414" s="38"/>
      <c r="C414" s="6" t="s">
        <v>406</v>
      </c>
      <c r="D414" s="6"/>
      <c r="E414" s="6"/>
      <c r="F414" s="6"/>
      <c r="G414" s="18" t="s">
        <v>409</v>
      </c>
      <c r="H414" s="5" t="s">
        <v>50</v>
      </c>
      <c r="I414" s="21">
        <f>2.24*SQRT(E38/E15)</f>
        <v>63.356767594314668</v>
      </c>
      <c r="J414" s="6" t="s">
        <v>408</v>
      </c>
      <c r="K414" s="6"/>
      <c r="L414" s="6"/>
      <c r="N414" s="5"/>
      <c r="O414" s="5"/>
    </row>
    <row r="415" spans="1:15" ht="15.6" customHeight="1" x14ac:dyDescent="0.3">
      <c r="A415" s="38"/>
      <c r="B415" s="38"/>
      <c r="C415" s="6" t="s">
        <v>410</v>
      </c>
      <c r="D415" s="6"/>
      <c r="E415" s="6"/>
      <c r="F415" s="5" t="s">
        <v>50</v>
      </c>
      <c r="G415" s="5" t="s">
        <v>153</v>
      </c>
      <c r="H415" s="11" t="str">
        <f>IF(I410&lt;=I411,"£","&gt;")</f>
        <v>£</v>
      </c>
      <c r="I415" s="5" t="s">
        <v>409</v>
      </c>
      <c r="J415" s="6" t="s">
        <v>408</v>
      </c>
      <c r="K415" s="6"/>
      <c r="L415" s="6"/>
    </row>
    <row r="416" spans="1:15" ht="15.6" customHeight="1" x14ac:dyDescent="0.3">
      <c r="A416" s="38"/>
      <c r="B416" s="38"/>
      <c r="C416" s="6" t="s">
        <v>411</v>
      </c>
      <c r="D416" s="6"/>
      <c r="E416" s="6"/>
      <c r="F416" s="5" t="s">
        <v>50</v>
      </c>
      <c r="G416" s="5" t="s">
        <v>153</v>
      </c>
      <c r="H416" s="11" t="str">
        <f>IF(I411&lt;=I412,"£","&gt;")</f>
        <v>£</v>
      </c>
      <c r="I416" s="36" t="s">
        <v>407</v>
      </c>
      <c r="J416" s="6" t="s">
        <v>402</v>
      </c>
      <c r="K416" s="6"/>
      <c r="L416" s="6"/>
    </row>
    <row r="417" spans="1:15" ht="15.6" customHeight="1" x14ac:dyDescent="0.3">
      <c r="A417" s="38"/>
      <c r="B417" s="38"/>
      <c r="C417" s="6" t="s">
        <v>412</v>
      </c>
      <c r="D417" s="6"/>
      <c r="E417" s="6"/>
      <c r="F417" s="5" t="s">
        <v>50</v>
      </c>
      <c r="G417" s="6" t="str">
        <f>IF(I413&lt;=I414,"Menggunakan Pers. G2-2",IF(I411&lt;=I412,"Menggunakan Pers. G2-3","Menggunakan Pers. G2-4"))</f>
        <v>Menggunakan Pers. G2-2</v>
      </c>
      <c r="H417" s="6"/>
      <c r="I417" s="6"/>
      <c r="J417" s="6"/>
      <c r="K417" s="6"/>
      <c r="L417" s="6"/>
    </row>
    <row r="418" spans="1:15" ht="15.6" customHeight="1" x14ac:dyDescent="0.3">
      <c r="A418" s="38"/>
      <c r="B418" s="38"/>
      <c r="C418" s="27" t="s">
        <v>413</v>
      </c>
      <c r="D418" s="27"/>
      <c r="E418" s="27"/>
      <c r="F418" s="27"/>
      <c r="G418" s="5" t="s">
        <v>414</v>
      </c>
      <c r="H418" s="5" t="s">
        <v>50</v>
      </c>
      <c r="I418" s="10" cm="1">
        <f t="array" ref="I418">_xlfn.IFS(RIGHT(G417,4)="G2-2",1,RIGHT(G417,4)="G2-3",1,RIGHT(G417,4)="G2-4",1.1*SQRT(I410*E38/E15)/(E21/E23))</f>
        <v>1</v>
      </c>
      <c r="J418" s="6" t="str">
        <f>_xlfn.CONCAT("(",RIGHT(G417,4),")")</f>
        <v>(G2-2)</v>
      </c>
      <c r="K418" s="6"/>
      <c r="L418" s="6"/>
    </row>
    <row r="419" spans="1:15" ht="15.6" customHeight="1" x14ac:dyDescent="0.3">
      <c r="A419" s="38"/>
      <c r="B419" s="38"/>
      <c r="C419" s="6" t="s">
        <v>415</v>
      </c>
      <c r="D419" s="6"/>
      <c r="E419" s="6"/>
      <c r="F419" s="6"/>
      <c r="G419" s="5" t="s">
        <v>416</v>
      </c>
      <c r="H419" s="5" t="s">
        <v>50</v>
      </c>
      <c r="I419" s="10">
        <f>1.1*SQRT(I410*E38/E15)</f>
        <v>69.570108523704349</v>
      </c>
      <c r="J419" s="6" t="s">
        <v>398</v>
      </c>
      <c r="K419" s="6"/>
      <c r="L419" s="6"/>
    </row>
    <row r="420" spans="1:15" ht="15.6" customHeight="1" x14ac:dyDescent="0.3">
      <c r="A420" s="38"/>
      <c r="B420" s="38"/>
      <c r="C420" s="6" t="s">
        <v>417</v>
      </c>
      <c r="D420" s="6"/>
      <c r="E420" s="6"/>
      <c r="F420" s="6"/>
      <c r="G420" s="5" t="s">
        <v>418</v>
      </c>
      <c r="H420" s="5" t="s">
        <v>50</v>
      </c>
      <c r="I420" s="10">
        <f>1.37*SQRT(I410*E38/E15)</f>
        <v>86.646407888613595</v>
      </c>
      <c r="J420" s="6" t="s">
        <v>398</v>
      </c>
      <c r="K420" s="6"/>
      <c r="L420" s="6"/>
    </row>
    <row r="421" spans="1:15" ht="15.6" customHeight="1" x14ac:dyDescent="0.3">
      <c r="A421" s="38"/>
      <c r="B421" s="38"/>
      <c r="C421" s="6" t="s">
        <v>419</v>
      </c>
      <c r="D421" s="6"/>
      <c r="E421" s="6"/>
      <c r="F421" s="5" t="s">
        <v>50</v>
      </c>
      <c r="G421" s="31" t="str" cm="1">
        <f t="array" ref="G421">_xlfn.IFS(I407&lt;=I419,"Menggunakan Pers. G2-9",I407&lt;I420,"Menggunakan Pers. G2-10",I407&gt;I420,"Menggunakan Pers. G2-11")</f>
        <v>Menggunakan Pers. G2-9</v>
      </c>
      <c r="H421" s="31"/>
      <c r="I421" s="31"/>
      <c r="J421" s="6" t="s">
        <v>398</v>
      </c>
      <c r="K421" s="6"/>
      <c r="L421" s="6"/>
    </row>
    <row r="422" spans="1:15" ht="15.6" customHeight="1" x14ac:dyDescent="0.3">
      <c r="A422" s="38"/>
      <c r="B422" s="38"/>
      <c r="C422" s="27" t="s">
        <v>420</v>
      </c>
      <c r="D422" s="27"/>
      <c r="E422" s="27"/>
      <c r="F422" s="27"/>
      <c r="G422" s="5" t="s">
        <v>421</v>
      </c>
      <c r="H422" s="5" t="s">
        <v>50</v>
      </c>
      <c r="I422" s="10" cm="1">
        <f t="array" ref="I422">_xlfn.IFS(J422="(G2-9)",1,J422="(G2-10)","1,1.Ö(kv.E/Fy)/(h/t)",J422="(G2-11)","(1,51.kv.E)/((h/t)^2.Fy)")</f>
        <v>1</v>
      </c>
      <c r="J422" s="6" t="str">
        <f>_xlfn.CONCAT("(",RIGHT(G421,4),")")</f>
        <v>(G2-9)</v>
      </c>
      <c r="K422" s="6"/>
      <c r="L422" s="6"/>
    </row>
    <row r="423" spans="1:15" x14ac:dyDescent="0.3">
      <c r="A423" s="38"/>
      <c r="B423" s="38"/>
      <c r="C423" s="38"/>
      <c r="D423" s="38"/>
      <c r="E423" s="38"/>
      <c r="F423" s="38"/>
      <c r="G423" s="38"/>
      <c r="H423" s="5" t="s">
        <v>50</v>
      </c>
      <c r="I423" s="10" cm="1">
        <f t="array" ref="I423">_xlfn.IFS(J422="(G2-9)",1,J422="(G2-10)",1.1*SQRT(I410*E38/E15)/(I407),J422="(G2-11)",(1.51*I410*E38)/((I407)^2*E15))</f>
        <v>1</v>
      </c>
      <c r="J423" s="6"/>
      <c r="K423" s="6"/>
      <c r="L423" s="6"/>
    </row>
    <row r="424" spans="1:15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</row>
    <row r="425" spans="1:15" x14ac:dyDescent="0.3">
      <c r="A425" s="7" t="str" cm="1">
        <f t="array" aca="1" ref="A425" ca="1">IF(AND(EXACT(M425,"SUBBAB"),SUBTOTAL(103,OFFSET(M425,0,0))),CHAR(64+SUMPRODUCT((EXACT(M$4:M425,"SUBBAB"))*SUBTOTAL(103,OFFSET(M$4,ROW(M$4:M425)-ROW(M$4),0)))),"")</f>
        <v/>
      </c>
      <c r="B425" s="7">
        <f>IF(N425="ANAK",_xlfn.AGGREGATE(2,5,$B$402:B424)+1,"")</f>
        <v>2</v>
      </c>
      <c r="C425" s="42" t="s">
        <v>422</v>
      </c>
      <c r="D425" s="42"/>
      <c r="E425" s="42"/>
      <c r="F425" s="42"/>
      <c r="G425" s="42"/>
      <c r="H425" s="6"/>
      <c r="I425" s="6"/>
      <c r="J425" s="6"/>
      <c r="K425" s="6"/>
      <c r="L425" s="6"/>
      <c r="N425" s="5" t="s">
        <v>47</v>
      </c>
      <c r="O425" s="5"/>
    </row>
    <row r="426" spans="1:15" ht="15.6" customHeight="1" x14ac:dyDescent="0.3">
      <c r="A426" s="38"/>
      <c r="B426" s="38"/>
      <c r="C426" s="27" t="s">
        <v>423</v>
      </c>
      <c r="D426" s="27"/>
      <c r="E426" s="27"/>
      <c r="F426" s="27"/>
      <c r="G426" s="5" t="s">
        <v>181</v>
      </c>
      <c r="H426" s="5" t="s">
        <v>50</v>
      </c>
      <c r="I426" s="5" t="s">
        <v>424</v>
      </c>
      <c r="J426" s="6" t="s">
        <v>425</v>
      </c>
      <c r="K426" s="6"/>
      <c r="L426" s="6"/>
    </row>
    <row r="427" spans="1:15" x14ac:dyDescent="0.3">
      <c r="A427" s="38"/>
      <c r="B427" s="38"/>
      <c r="C427" s="38"/>
      <c r="D427" s="38"/>
      <c r="E427" s="38"/>
      <c r="F427" s="38"/>
      <c r="G427" s="38"/>
      <c r="H427" s="5" t="s">
        <v>50</v>
      </c>
      <c r="I427" s="10">
        <f>0.6*E15*I409*I418/10^3</f>
        <v>90</v>
      </c>
      <c r="J427" s="15" t="s">
        <v>56</v>
      </c>
      <c r="K427" s="6"/>
      <c r="L427" s="6"/>
    </row>
    <row r="428" spans="1:15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</row>
    <row r="429" spans="1:15" x14ac:dyDescent="0.3">
      <c r="A429" s="7" t="str" cm="1">
        <f t="array" aca="1" ref="A429" ca="1">IF(AND(EXACT(M429,"SUBBAB"),SUBTOTAL(103,OFFSET(M429,0,0))),CHAR(64+SUMPRODUCT((EXACT(M$4:M429,"SUBBAB"))*SUBTOTAL(103,OFFSET(M$4,ROW(M$4:M429)-ROW(M$4),0)))),"")</f>
        <v/>
      </c>
      <c r="B429" s="7">
        <f>IF(N429="ANAK",_xlfn.AGGREGATE(2,5,$B$402:B428)+1,"")</f>
        <v>3</v>
      </c>
      <c r="C429" s="42" t="s">
        <v>426</v>
      </c>
      <c r="D429" s="42"/>
      <c r="E429" s="42"/>
      <c r="F429" s="42"/>
      <c r="G429" s="42"/>
      <c r="H429" s="6"/>
      <c r="I429" s="6"/>
      <c r="J429" s="6"/>
      <c r="K429" s="6"/>
      <c r="L429" s="6"/>
      <c r="N429" s="5" t="s">
        <v>47</v>
      </c>
      <c r="O429" s="5"/>
    </row>
    <row r="430" spans="1:15" ht="15.6" customHeight="1" x14ac:dyDescent="0.3">
      <c r="A430" s="38"/>
      <c r="B430" s="38"/>
      <c r="C430" s="6" t="s">
        <v>427</v>
      </c>
      <c r="D430" s="6"/>
      <c r="E430" s="6"/>
      <c r="F430" s="5" t="s">
        <v>50</v>
      </c>
      <c r="G430" s="5" t="s">
        <v>153</v>
      </c>
      <c r="H430" s="11" t="str">
        <f>H416</f>
        <v>£</v>
      </c>
      <c r="I430" s="36" t="s">
        <v>407</v>
      </c>
      <c r="J430" s="6" t="s">
        <v>398</v>
      </c>
      <c r="K430" s="6"/>
      <c r="L430" s="6"/>
    </row>
    <row r="431" spans="1:15" ht="15.6" customHeight="1" x14ac:dyDescent="0.3">
      <c r="A431" s="38"/>
      <c r="B431" s="38"/>
      <c r="C431" s="6" t="s">
        <v>428</v>
      </c>
      <c r="D431" s="6"/>
      <c r="E431" s="6"/>
      <c r="F431" s="5" t="s">
        <v>50</v>
      </c>
      <c r="G431" s="5" t="s">
        <v>429</v>
      </c>
      <c r="H431" s="11" t="str">
        <f>H432</f>
        <v>£</v>
      </c>
      <c r="I431" s="10">
        <v>2.5</v>
      </c>
      <c r="J431" s="6" t="s">
        <v>430</v>
      </c>
      <c r="K431" s="6"/>
      <c r="L431" s="6"/>
    </row>
    <row r="432" spans="1:15" x14ac:dyDescent="0.3">
      <c r="A432" s="38"/>
      <c r="B432" s="38"/>
      <c r="C432" s="38"/>
      <c r="D432" s="38"/>
      <c r="E432" s="38"/>
      <c r="F432" s="38"/>
      <c r="G432" s="5">
        <f>2*I409/(2*E22*E24)</f>
        <v>0.75</v>
      </c>
      <c r="H432" s="11" t="str">
        <f>IF(G432&lt;=I432,"£","&gt;")</f>
        <v>£</v>
      </c>
      <c r="I432" s="10">
        <f>I431</f>
        <v>2.5</v>
      </c>
      <c r="J432" s="6"/>
      <c r="K432" s="6"/>
      <c r="L432" s="6"/>
    </row>
    <row r="433" spans="1:15" ht="15.6" customHeight="1" x14ac:dyDescent="0.3">
      <c r="A433" s="38"/>
      <c r="B433" s="38"/>
      <c r="C433" s="6" t="s">
        <v>431</v>
      </c>
      <c r="D433" s="6"/>
      <c r="E433" s="6"/>
      <c r="F433" s="5" t="s">
        <v>50</v>
      </c>
      <c r="G433" s="5" t="s">
        <v>432</v>
      </c>
      <c r="H433" s="11" t="str">
        <f>H434</f>
        <v>£</v>
      </c>
      <c r="I433" s="10">
        <v>6</v>
      </c>
      <c r="J433" s="6" t="s">
        <v>430</v>
      </c>
      <c r="K433" s="6"/>
      <c r="L433" s="6"/>
    </row>
    <row r="434" spans="1:15" x14ac:dyDescent="0.3">
      <c r="A434" s="38"/>
      <c r="B434" s="38"/>
      <c r="C434" s="38"/>
      <c r="D434" s="38"/>
      <c r="E434" s="38"/>
      <c r="F434" s="38"/>
      <c r="G434" s="10">
        <f>E21/E22</f>
        <v>1</v>
      </c>
      <c r="H434" s="11" t="str">
        <f>IF(G434&lt;=I434,"£","&gt;")</f>
        <v>£</v>
      </c>
      <c r="I434" s="10">
        <f>I433</f>
        <v>6</v>
      </c>
      <c r="J434" s="6"/>
      <c r="K434" s="6"/>
      <c r="L434" s="6"/>
    </row>
    <row r="435" spans="1:15" ht="15.6" customHeight="1" x14ac:dyDescent="0.3">
      <c r="A435" s="38"/>
      <c r="B435" s="38"/>
      <c r="C435" s="6" t="s">
        <v>433</v>
      </c>
      <c r="D435" s="6"/>
      <c r="E435" s="6"/>
      <c r="F435" s="5" t="s">
        <v>50</v>
      </c>
      <c r="G435" s="5" t="s">
        <v>434</v>
      </c>
      <c r="H435" s="11" t="str">
        <f>H436</f>
        <v>£</v>
      </c>
      <c r="I435" s="10">
        <v>6</v>
      </c>
      <c r="J435" s="6" t="s">
        <v>430</v>
      </c>
      <c r="K435" s="6"/>
      <c r="L435" s="6"/>
    </row>
    <row r="436" spans="1:15" x14ac:dyDescent="0.3">
      <c r="A436" s="38"/>
      <c r="B436" s="38"/>
      <c r="C436" s="38"/>
      <c r="D436" s="38"/>
      <c r="E436" s="38"/>
      <c r="F436" s="38"/>
      <c r="G436" s="10">
        <f>E21/E22</f>
        <v>1</v>
      </c>
      <c r="H436" s="11" t="str">
        <f>IF(G436&lt;=I436,"£","&gt;")</f>
        <v>£</v>
      </c>
      <c r="I436" s="10">
        <f>I435</f>
        <v>6</v>
      </c>
      <c r="J436" s="6"/>
      <c r="K436" s="6"/>
      <c r="L436" s="6"/>
    </row>
    <row r="437" spans="1:15" ht="15.6" customHeight="1" x14ac:dyDescent="0.3">
      <c r="A437" s="38"/>
      <c r="B437" s="38"/>
      <c r="C437" s="38"/>
      <c r="D437" s="6" t="s">
        <v>435</v>
      </c>
      <c r="E437" s="6"/>
      <c r="F437" s="5" t="s">
        <v>50</v>
      </c>
      <c r="G437" s="6" t="str">
        <f>IF(H430="£","Menggunakan Pers. G2-6",IF(AND(H430="&gt;",H431="£",H433="£",H435="£"),"Menggunakan Pers. G2-7","Menggunakan Pers. G2-8"))</f>
        <v>Menggunakan Pers. G2-6</v>
      </c>
      <c r="H437" s="6"/>
      <c r="I437" s="6"/>
      <c r="J437" s="6"/>
      <c r="K437" s="6"/>
      <c r="L437" s="6"/>
    </row>
    <row r="438" spans="1:15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</row>
    <row r="439" spans="1:15" ht="15.6" customHeight="1" x14ac:dyDescent="0.3">
      <c r="A439" s="38"/>
      <c r="B439" s="38"/>
      <c r="C439" s="6" t="s">
        <v>423</v>
      </c>
      <c r="D439" s="6"/>
      <c r="E439" s="6"/>
      <c r="F439" s="6"/>
      <c r="G439" s="5" t="s">
        <v>181</v>
      </c>
      <c r="H439" s="5" t="s">
        <v>50</v>
      </c>
      <c r="I439" s="37" t="str">
        <f>IF(H430="£","0,6.Fy.Aw",IF(AND(H430="&gt;",H431="£",H433="£",H435="£"),"0,6.Fy.Aw.(Cv2+(1-Cv2)/(1,15.Ö(1+(a/h)^2))","0,6.Fy.Aw.(Cv2+(1-Cv2)/(1,15.((a/h)+Ö(1+(a/h)^2)))"))</f>
        <v>0,6.Fy.Aw</v>
      </c>
      <c r="J439" s="37"/>
      <c r="K439" s="37"/>
      <c r="L439" s="18" t="str">
        <f>_xlfn.CONCAT("(",RIGHT(G437,4),")")</f>
        <v>(G2-6)</v>
      </c>
    </row>
    <row r="440" spans="1:15" x14ac:dyDescent="0.3">
      <c r="A440" s="7" t="str" cm="1">
        <f t="array" aca="1" ref="A440" ca="1">IF(AND(EXACT(M440,"SUBBAB"),SUBTOTAL(103,OFFSET(M440,0,0))),CHAR(64+SUMPRODUCT((EXACT(M$4:M440,"SUBBAB"))*SUBTOTAL(103,OFFSET(M$4,ROW(M$4:M440)-ROW(M$4),0)))),"")</f>
        <v/>
      </c>
      <c r="B440" s="7" t="str">
        <f>IF(N440="ANAK",_xlfn.AGGREGATE(2,5,$B$402:B439)+1,"")</f>
        <v/>
      </c>
      <c r="D440" s="6"/>
      <c r="E440" s="6"/>
      <c r="F440" s="6"/>
      <c r="H440" s="5" t="s">
        <v>50</v>
      </c>
      <c r="I440" s="10">
        <f>IF(H430="£",0.6*E15*I409,IF(AND(H430="&gt;",H431="£",H433="£",H435="£"),0.6*E15*I409*(I423+(1-I423)/(1.15*SQRT(1+(I406/E21)^2))),0.6*E15*I409*(I423+(1-I423)/(1.15*((I406/E21)+SQRT(1+(I406/E21)^2))))))/10^3</f>
        <v>90</v>
      </c>
      <c r="J440" s="15" t="s">
        <v>56</v>
      </c>
      <c r="K440" s="6"/>
      <c r="L440" s="6"/>
    </row>
    <row r="441" spans="1:15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</row>
    <row r="442" spans="1:15" x14ac:dyDescent="0.3">
      <c r="A442" s="7" t="str" cm="1">
        <f t="array" aca="1" ref="A442" ca="1">IF(AND(EXACT(M442,"SUBBAB"),SUBTOTAL(103,OFFSET(M442,0,0))),CHAR(64+SUMPRODUCT((EXACT(M$4:M442,"SUBBAB"))*SUBTOTAL(103,OFFSET(M$4,ROW(M$4:M442)-ROW(M$4),0)))),"")</f>
        <v>H</v>
      </c>
      <c r="B442" s="42" t="s">
        <v>185</v>
      </c>
      <c r="C442" s="42"/>
      <c r="D442" s="42"/>
      <c r="E442" s="42"/>
      <c r="F442" s="42"/>
      <c r="G442" s="42"/>
      <c r="H442" s="38" t="s">
        <v>186</v>
      </c>
      <c r="I442" s="38"/>
      <c r="J442" s="38"/>
      <c r="K442" s="38"/>
      <c r="L442" s="38"/>
      <c r="M442" s="5" t="s">
        <v>45</v>
      </c>
    </row>
    <row r="443" spans="1:15" x14ac:dyDescent="0.3">
      <c r="A443" s="7" t="str" cm="1">
        <f t="array" aca="1" ref="A443" ca="1">IF(AND(EXACT(M443,"SUBBAB"),SUBTOTAL(103,OFFSET(M443,0,0))),CHAR(64+SUMPRODUCT((EXACT(M$4:M443,"SUBBAB"))*SUBTOTAL(103,OFFSET(M$4,ROW(M$4:M443)-ROW(M$4),0)))),"")</f>
        <v/>
      </c>
      <c r="B443" s="7">
        <f>IF(N443="ANAK",_xlfn.AGGREGATE(2,5,$B$442:B442)+1,"")</f>
        <v>1</v>
      </c>
      <c r="C443" s="42" t="s">
        <v>436</v>
      </c>
      <c r="D443" s="42"/>
      <c r="E443" s="42"/>
      <c r="F443" s="42"/>
      <c r="G443" s="42"/>
      <c r="H443" s="6"/>
      <c r="I443" s="6"/>
      <c r="J443" s="6"/>
      <c r="K443" s="6"/>
      <c r="L443" s="6"/>
      <c r="N443" s="5" t="s">
        <v>47</v>
      </c>
      <c r="O443" s="5"/>
    </row>
    <row r="444" spans="1:15" x14ac:dyDescent="0.3">
      <c r="A444" s="38"/>
      <c r="B444" s="38"/>
      <c r="C444" s="27" t="s">
        <v>235</v>
      </c>
      <c r="D444" s="27"/>
      <c r="E444" s="6" t="s">
        <v>50</v>
      </c>
      <c r="F444" s="5" t="s">
        <v>236</v>
      </c>
      <c r="G444" s="10">
        <f>IF(I7=0,I6/E31,I7/E31)</f>
        <v>22.722453224981532</v>
      </c>
      <c r="H444" s="11" t="str">
        <f>IF(G444&lt;=I444,"£","&gt;")</f>
        <v>£</v>
      </c>
      <c r="I444" s="21">
        <f>4.71*SQRT(E38/E15)</f>
        <v>133.21891757554556</v>
      </c>
      <c r="J444" s="41" t="s">
        <v>237</v>
      </c>
      <c r="K444" s="41"/>
      <c r="N444" s="5"/>
      <c r="O444" s="5"/>
    </row>
    <row r="445" spans="1:15" x14ac:dyDescent="0.3">
      <c r="A445" s="38"/>
      <c r="B445" s="38"/>
      <c r="C445" s="38"/>
      <c r="D445" s="38"/>
      <c r="E445" s="31" t="s">
        <v>50</v>
      </c>
      <c r="F445" s="31" t="str">
        <f>IF(H444="£","Menggunakan Pers. E3-2","Menggunakan Pers. E3-3")</f>
        <v>Menggunakan Pers. E3-2</v>
      </c>
      <c r="G445" s="31"/>
      <c r="H445" s="31"/>
      <c r="I445" s="31"/>
      <c r="J445" s="31"/>
      <c r="K445" s="31"/>
      <c r="L445" s="31"/>
      <c r="N445" s="5"/>
      <c r="O445" s="5"/>
    </row>
    <row r="446" spans="1:15" ht="16.2" x14ac:dyDescent="0.3">
      <c r="A446" s="38"/>
      <c r="B446" s="38"/>
      <c r="C446" s="27" t="s">
        <v>244</v>
      </c>
      <c r="D446" s="27"/>
      <c r="E446" s="27"/>
      <c r="F446" s="27"/>
      <c r="G446" s="5" t="s">
        <v>239</v>
      </c>
      <c r="H446" s="5" t="s">
        <v>50</v>
      </c>
      <c r="I446" s="43" t="s">
        <v>245</v>
      </c>
      <c r="J446" s="43"/>
      <c r="K446" s="43"/>
      <c r="L446" s="18" t="s">
        <v>246</v>
      </c>
      <c r="N446" s="5"/>
      <c r="O446" s="5"/>
    </row>
    <row r="447" spans="1:15" ht="15.6" customHeight="1" x14ac:dyDescent="0.3">
      <c r="A447" s="38" t="str">
        <f>IF(N447="ANAK",_xlfn.AGGREGATE(2,5,$B$442:B446)+1,"")</f>
        <v/>
      </c>
      <c r="B447" s="38"/>
      <c r="C447" s="38"/>
      <c r="D447" s="38"/>
      <c r="E447" s="38"/>
      <c r="F447" s="38"/>
      <c r="G447" s="38"/>
      <c r="H447" s="5" t="s">
        <v>50</v>
      </c>
      <c r="I447" s="10">
        <f>(PI()^2*E38*E42/(IF(I7=0,I6,I7))^2+(E39*E40))*(1/(E29+E30))</f>
        <v>1506.1141490005505</v>
      </c>
      <c r="J447" s="6" t="s">
        <v>75</v>
      </c>
      <c r="K447" s="31"/>
      <c r="L447" s="31"/>
      <c r="N447" s="5"/>
      <c r="O447" s="5"/>
    </row>
    <row r="448" spans="1:15" ht="15.6" customHeight="1" x14ac:dyDescent="0.3">
      <c r="A448" s="38"/>
      <c r="B448" s="38"/>
      <c r="C448" s="27" t="s">
        <v>247</v>
      </c>
      <c r="D448" s="27"/>
      <c r="E448" s="27"/>
      <c r="F448" s="27"/>
      <c r="G448" s="5" t="s">
        <v>243</v>
      </c>
      <c r="H448" s="5" t="s">
        <v>50</v>
      </c>
      <c r="I448" s="33" t="str">
        <f>IF(H444="£","0,658^(Fy/Fe).Fy","0,877.Fe")</f>
        <v>0,658^(Fy/Fe).Fy</v>
      </c>
      <c r="J448" s="6" t="str">
        <f>IF(H444="£","(E3-2)","(E3-3)")</f>
        <v>(E3-2)</v>
      </c>
      <c r="K448" s="6"/>
      <c r="L448" s="6"/>
      <c r="N448" s="5"/>
      <c r="O448" s="5"/>
    </row>
    <row r="449" spans="1:15" x14ac:dyDescent="0.3">
      <c r="A449" s="38" t="str">
        <f>IF(N449="ANAK",_xlfn.AGGREGATE(2,5,$B$442:B448)+1,"")</f>
        <v/>
      </c>
      <c r="B449" s="38"/>
      <c r="C449" s="38"/>
      <c r="D449" s="38"/>
      <c r="E449" s="38"/>
      <c r="F449" s="38"/>
      <c r="G449" s="38"/>
      <c r="H449" s="5" t="s">
        <v>50</v>
      </c>
      <c r="I449" s="10">
        <f>IF(H444="&lt;",(0.658^(E15/I447)*E15),0.877*I447)</f>
        <v>1320.8621086734827</v>
      </c>
      <c r="J449" s="6" t="s">
        <v>75</v>
      </c>
      <c r="K449" s="6"/>
      <c r="L449" s="6"/>
      <c r="N449" s="5"/>
      <c r="O449" s="5"/>
    </row>
    <row r="450" spans="1:15" ht="15.6" customHeight="1" x14ac:dyDescent="0.3">
      <c r="A450" s="38"/>
      <c r="B450" s="38"/>
      <c r="C450" s="6" t="s">
        <v>437</v>
      </c>
      <c r="D450" s="6"/>
      <c r="E450" s="6"/>
      <c r="F450" s="6"/>
      <c r="G450" s="5" t="s">
        <v>438</v>
      </c>
      <c r="H450" s="5" t="s">
        <v>50</v>
      </c>
      <c r="I450" s="28" t="s">
        <v>77</v>
      </c>
      <c r="J450" s="6" t="s">
        <v>439</v>
      </c>
      <c r="K450" s="6"/>
      <c r="L450" s="6"/>
    </row>
    <row r="451" spans="1:15" x14ac:dyDescent="0.3">
      <c r="A451" s="38" t="str">
        <f>IF(N451="ANAK",_xlfn.AGGREGATE(2,5,$B$442:B450)+1,"")</f>
        <v/>
      </c>
      <c r="B451" s="38"/>
      <c r="C451" s="38"/>
      <c r="D451" s="38"/>
      <c r="E451" s="38"/>
      <c r="F451" s="38"/>
      <c r="G451" s="38"/>
      <c r="H451" s="5" t="s">
        <v>50</v>
      </c>
      <c r="I451" s="10">
        <f>E15</f>
        <v>250</v>
      </c>
      <c r="J451" s="15" t="s">
        <v>75</v>
      </c>
      <c r="K451" s="6"/>
      <c r="L451" s="6"/>
    </row>
    <row r="452" spans="1:15" ht="15.6" customHeight="1" x14ac:dyDescent="0.3">
      <c r="A452" s="38"/>
      <c r="B452" s="38"/>
      <c r="C452" s="6" t="s">
        <v>440</v>
      </c>
      <c r="D452" s="6"/>
      <c r="E452" s="6"/>
      <c r="F452" s="6"/>
      <c r="G452" s="5" t="s">
        <v>438</v>
      </c>
      <c r="H452" s="5" t="s">
        <v>50</v>
      </c>
      <c r="I452" s="28" t="s">
        <v>441</v>
      </c>
      <c r="J452" s="6" t="s">
        <v>442</v>
      </c>
      <c r="K452" s="6"/>
      <c r="L452" s="6"/>
    </row>
    <row r="453" spans="1:15" x14ac:dyDescent="0.3">
      <c r="A453" s="38" t="str">
        <f>IF(N453="ANAK",_xlfn.AGGREGATE(2,5,$B$442:B452)+1,"")</f>
        <v/>
      </c>
      <c r="B453" s="38"/>
      <c r="C453" s="38"/>
      <c r="D453" s="38"/>
      <c r="E453" s="38"/>
      <c r="F453" s="38"/>
      <c r="G453" s="38"/>
      <c r="H453" s="5" t="s">
        <v>50</v>
      </c>
      <c r="I453" s="10">
        <f>0.6*E15</f>
        <v>150</v>
      </c>
      <c r="J453" s="15" t="s">
        <v>75</v>
      </c>
      <c r="K453" s="6"/>
      <c r="L453" s="6"/>
    </row>
    <row r="454" spans="1:15" ht="15.6" customHeight="1" x14ac:dyDescent="0.3">
      <c r="A454" s="38"/>
      <c r="B454" s="38"/>
      <c r="C454" s="6" t="s">
        <v>443</v>
      </c>
      <c r="D454" s="6"/>
      <c r="E454" s="6"/>
      <c r="F454" s="6"/>
      <c r="G454" s="5" t="s">
        <v>438</v>
      </c>
      <c r="H454" s="5" t="s">
        <v>50</v>
      </c>
      <c r="I454" s="28" t="s">
        <v>243</v>
      </c>
      <c r="J454" s="6" t="s">
        <v>444</v>
      </c>
      <c r="K454" s="6"/>
      <c r="L454" s="6"/>
    </row>
    <row r="455" spans="1:15" x14ac:dyDescent="0.3">
      <c r="A455" s="38" t="str">
        <f>IF(N455="ANAK",_xlfn.AGGREGATE(2,5,$B$442:B454)+1,"")</f>
        <v/>
      </c>
      <c r="B455" s="38"/>
      <c r="C455" s="38"/>
      <c r="D455" s="38"/>
      <c r="E455" s="38"/>
      <c r="F455" s="38"/>
      <c r="G455" s="38"/>
      <c r="H455" s="5" t="s">
        <v>50</v>
      </c>
      <c r="I455" s="10">
        <f>I449</f>
        <v>1320.8621086734827</v>
      </c>
      <c r="J455" s="15" t="s">
        <v>75</v>
      </c>
      <c r="K455" s="6"/>
      <c r="L455" s="6"/>
    </row>
    <row r="456" spans="1:15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</row>
    <row r="457" spans="1:15" x14ac:dyDescent="0.3">
      <c r="A457" s="7" t="str" cm="1">
        <f t="array" aca="1" ref="A457" ca="1">IF(AND(EXACT(M457,"SUBBAB"),SUBTOTAL(103,OFFSET(M457,0,0))),CHAR(64+SUMPRODUCT((EXACT(M$4:M457,"SUBBAB"))*SUBTOTAL(103,OFFSET(M$4,ROW(M$4:M457)-ROW(M$4),0)))),"")</f>
        <v/>
      </c>
      <c r="B457" s="7">
        <f>IF(N457="ANAK",_xlfn.AGGREGATE(2,5,$B$442:B456)+1,"")</f>
        <v>2</v>
      </c>
      <c r="C457" s="42" t="s">
        <v>445</v>
      </c>
      <c r="D457" s="42"/>
      <c r="E457" s="42"/>
      <c r="F457" s="42"/>
      <c r="G457" s="8"/>
      <c r="I457" s="6"/>
      <c r="J457" s="6"/>
      <c r="K457" s="6"/>
      <c r="L457" s="6"/>
      <c r="N457" s="5" t="s">
        <v>47</v>
      </c>
      <c r="O457" s="5"/>
    </row>
    <row r="458" spans="1:15" ht="15.6" customHeight="1" x14ac:dyDescent="0.3">
      <c r="A458" s="38"/>
      <c r="B458" s="38"/>
      <c r="C458" s="27" t="s">
        <v>446</v>
      </c>
      <c r="D458" s="27"/>
      <c r="E458" s="27"/>
      <c r="F458" s="27"/>
      <c r="G458" s="5" t="s">
        <v>188</v>
      </c>
      <c r="H458" s="5" t="s">
        <v>50</v>
      </c>
      <c r="I458" s="10" t="s">
        <v>447</v>
      </c>
      <c r="J458" s="6" t="s">
        <v>448</v>
      </c>
      <c r="K458" s="6"/>
      <c r="L458" s="6"/>
    </row>
    <row r="459" spans="1:15" x14ac:dyDescent="0.3">
      <c r="A459" s="38" t="str">
        <f>IF(N459="ANAK",_xlfn.AGGREGATE(2,5,$B$442:B458)+1,"")</f>
        <v/>
      </c>
      <c r="B459" s="38"/>
      <c r="C459" s="38"/>
      <c r="D459" s="38"/>
      <c r="E459" s="38"/>
      <c r="F459" s="38"/>
      <c r="G459" s="38"/>
      <c r="H459" s="5" t="s">
        <v>50</v>
      </c>
      <c r="I459" s="10">
        <f>(I451*E41)/10^6</f>
        <v>0.21662072074482391</v>
      </c>
      <c r="J459" s="15" t="s">
        <v>61</v>
      </c>
      <c r="K459" s="6"/>
      <c r="L459" s="6"/>
    </row>
    <row r="460" spans="1:15" ht="15.6" customHeight="1" x14ac:dyDescent="0.3">
      <c r="A460" s="38"/>
      <c r="B460" s="38"/>
      <c r="C460" s="27" t="s">
        <v>449</v>
      </c>
      <c r="D460" s="27"/>
      <c r="E460" s="27"/>
      <c r="F460" s="27"/>
      <c r="G460" s="5" t="s">
        <v>188</v>
      </c>
      <c r="H460" s="5" t="s">
        <v>50</v>
      </c>
      <c r="I460" s="10" t="s">
        <v>447</v>
      </c>
      <c r="J460" s="6" t="s">
        <v>448</v>
      </c>
      <c r="K460" s="6"/>
      <c r="L460" s="6"/>
    </row>
    <row r="461" spans="1:15" x14ac:dyDescent="0.3">
      <c r="A461" s="38" t="str">
        <f>IF(N461="ANAK",_xlfn.AGGREGATE(2,5,$B$442:B460)+1,"")</f>
        <v/>
      </c>
      <c r="B461" s="38"/>
      <c r="C461" s="38"/>
      <c r="D461" s="38"/>
      <c r="E461" s="38"/>
      <c r="F461" s="38"/>
      <c r="G461" s="38"/>
      <c r="H461" s="5" t="s">
        <v>50</v>
      </c>
      <c r="I461" s="10">
        <f>(I453*E41)/10^6</f>
        <v>0.12997243244689435</v>
      </c>
      <c r="J461" s="15" t="s">
        <v>61</v>
      </c>
      <c r="K461" s="6"/>
      <c r="L461" s="6"/>
    </row>
    <row r="462" spans="1:15" ht="15.6" customHeight="1" x14ac:dyDescent="0.3">
      <c r="A462" s="38"/>
      <c r="B462" s="38"/>
      <c r="C462" s="27" t="s">
        <v>450</v>
      </c>
      <c r="D462" s="27"/>
      <c r="E462" s="27"/>
      <c r="F462" s="27"/>
      <c r="G462" s="5" t="s">
        <v>188</v>
      </c>
      <c r="H462" s="5" t="s">
        <v>50</v>
      </c>
      <c r="I462" s="10" t="s">
        <v>447</v>
      </c>
      <c r="J462" s="6" t="s">
        <v>448</v>
      </c>
      <c r="K462" s="6"/>
      <c r="L462" s="6"/>
    </row>
    <row r="463" spans="1:15" x14ac:dyDescent="0.3">
      <c r="A463" s="38" t="str">
        <f>IF(N463="ANAK",_xlfn.AGGREGATE(2,5,$B$442:B462)+1,"")</f>
        <v/>
      </c>
      <c r="B463" s="38"/>
      <c r="C463" s="38"/>
      <c r="D463" s="38"/>
      <c r="E463" s="38"/>
      <c r="F463" s="38"/>
      <c r="G463" s="38"/>
      <c r="H463" s="5" t="s">
        <v>50</v>
      </c>
      <c r="I463" s="10">
        <f>(I455*E41)/10^6</f>
        <v>1.1445044079415112</v>
      </c>
      <c r="J463" s="15" t="s">
        <v>61</v>
      </c>
      <c r="K463" s="6"/>
      <c r="L463" s="6"/>
    </row>
    <row r="464" spans="1:15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</row>
    <row r="465" spans="1:15" x14ac:dyDescent="0.3">
      <c r="A465" s="7" t="str" cm="1">
        <f t="array" aca="1" ref="A465" ca="1">IF(AND(EXACT(M465,"SUBBAB"),SUBTOTAL(103,OFFSET(M465,0,0))),CHAR(64+SUMPRODUCT((EXACT(M$4:M465,"SUBBAB"))*SUBTOTAL(103,OFFSET(M$4,ROW(M$4:M465)-ROW(M$4),0)))),"")</f>
        <v>I</v>
      </c>
      <c r="B465" s="42" t="s">
        <v>451</v>
      </c>
      <c r="C465" s="42"/>
      <c r="D465" s="42"/>
      <c r="E465" s="42"/>
      <c r="F465" s="42"/>
      <c r="G465" s="42"/>
      <c r="H465" s="38" t="s">
        <v>186</v>
      </c>
      <c r="I465" s="38"/>
      <c r="J465" s="38"/>
      <c r="K465" s="38"/>
      <c r="L465" s="38"/>
      <c r="M465" s="5" t="s">
        <v>45</v>
      </c>
    </row>
    <row r="466" spans="1:15" x14ac:dyDescent="0.3">
      <c r="A466" s="7" t="str" cm="1">
        <f t="array" aca="1" ref="A466" ca="1">IF(AND(EXACT(M466,"SUBBAB"),SUBTOTAL(103,OFFSET(M466,0,0))),CHAR(64+SUMPRODUCT((EXACT(M$4:M466,"SUBBAB"))*SUBTOTAL(103,OFFSET(M$4,ROW(M$4:M466)-ROW(M$4),0)))),"")</f>
        <v/>
      </c>
      <c r="B466" s="7">
        <f>IF(N466="ANAK",_xlfn.AGGREGATE(2,5,$B$465:B465)+1,"")</f>
        <v>1</v>
      </c>
      <c r="C466" s="42" t="s">
        <v>452</v>
      </c>
      <c r="D466" s="42"/>
      <c r="E466" s="42"/>
      <c r="F466" s="42"/>
      <c r="G466" s="42"/>
      <c r="H466" s="6"/>
      <c r="I466" s="6"/>
      <c r="J466" s="6"/>
      <c r="K466" s="6"/>
      <c r="L466" s="6"/>
      <c r="N466" s="5" t="s">
        <v>47</v>
      </c>
      <c r="O466" s="5"/>
    </row>
    <row r="467" spans="1:15" x14ac:dyDescent="0.3">
      <c r="A467" s="38"/>
      <c r="B467" s="38"/>
      <c r="C467" s="27" t="s">
        <v>453</v>
      </c>
      <c r="D467" s="27"/>
      <c r="E467" s="27"/>
      <c r="F467" s="27"/>
      <c r="G467" s="5" t="s">
        <v>55</v>
      </c>
      <c r="H467" s="5" t="s">
        <v>50</v>
      </c>
      <c r="I467" s="10">
        <f>E9</f>
        <v>10</v>
      </c>
      <c r="J467" s="15" t="s">
        <v>56</v>
      </c>
      <c r="K467" s="6"/>
      <c r="L467" s="6"/>
      <c r="N467" s="5"/>
      <c r="O467" s="5"/>
    </row>
    <row r="468" spans="1:15" x14ac:dyDescent="0.3">
      <c r="A468" s="38"/>
      <c r="B468" s="38"/>
      <c r="C468" s="27" t="s">
        <v>454</v>
      </c>
      <c r="D468" s="27"/>
      <c r="E468" s="27"/>
      <c r="F468" s="27"/>
      <c r="G468" s="5" t="s">
        <v>60</v>
      </c>
      <c r="H468" s="5" t="s">
        <v>50</v>
      </c>
      <c r="I468" s="10">
        <f>E10</f>
        <v>100</v>
      </c>
      <c r="J468" s="15" t="s">
        <v>61</v>
      </c>
      <c r="K468" s="6"/>
      <c r="L468" s="6"/>
      <c r="N468" s="5"/>
      <c r="O468" s="5"/>
    </row>
    <row r="469" spans="1:15" x14ac:dyDescent="0.3">
      <c r="A469" s="38"/>
      <c r="B469" s="38"/>
      <c r="C469" s="27" t="s">
        <v>455</v>
      </c>
      <c r="D469" s="27"/>
      <c r="E469" s="27"/>
      <c r="F469" s="27"/>
      <c r="G469" s="5" t="s">
        <v>64</v>
      </c>
      <c r="H469" s="5" t="s">
        <v>50</v>
      </c>
      <c r="I469" s="10">
        <f>E11</f>
        <v>100</v>
      </c>
      <c r="J469" s="15" t="s">
        <v>61</v>
      </c>
      <c r="K469" s="6"/>
      <c r="L469" s="6"/>
      <c r="N469" s="5"/>
      <c r="O469" s="5"/>
    </row>
    <row r="470" spans="1:15" x14ac:dyDescent="0.3">
      <c r="A470" s="38"/>
      <c r="B470" s="38"/>
      <c r="C470" s="27" t="s">
        <v>456</v>
      </c>
      <c r="D470" s="27"/>
      <c r="E470" s="27"/>
      <c r="F470" s="27"/>
      <c r="G470" s="5" t="s">
        <v>131</v>
      </c>
      <c r="H470" s="5" t="s">
        <v>50</v>
      </c>
      <c r="I470" s="10">
        <f>_xlfn.AGGREGATE(5,1,(F95:H99))</f>
        <v>10</v>
      </c>
      <c r="J470" s="15" t="s">
        <v>56</v>
      </c>
      <c r="K470" s="6"/>
      <c r="L470" s="6"/>
      <c r="N470" s="5"/>
      <c r="O470" s="5"/>
    </row>
    <row r="471" spans="1:15" x14ac:dyDescent="0.3">
      <c r="A471" s="38"/>
      <c r="B471" s="38"/>
      <c r="C471" s="27" t="s">
        <v>457</v>
      </c>
      <c r="D471" s="27"/>
      <c r="E471" s="27"/>
      <c r="F471" s="27"/>
      <c r="G471" s="5" t="s">
        <v>458</v>
      </c>
      <c r="H471" s="5" t="s">
        <v>50</v>
      </c>
      <c r="I471" s="10">
        <f>_xlfn.AGGREGATE(5,1,(F132:H143))</f>
        <v>14.473217492512267</v>
      </c>
      <c r="J471" s="15" t="s">
        <v>61</v>
      </c>
      <c r="K471" s="6"/>
      <c r="L471" s="6"/>
      <c r="N471" s="5"/>
      <c r="O471" s="5"/>
    </row>
    <row r="472" spans="1:15" x14ac:dyDescent="0.3">
      <c r="A472" s="38"/>
      <c r="B472" s="38"/>
      <c r="C472" s="27" t="s">
        <v>459</v>
      </c>
      <c r="D472" s="27"/>
      <c r="E472" s="27"/>
      <c r="F472" s="27"/>
      <c r="G472" s="5" t="s">
        <v>460</v>
      </c>
      <c r="H472" s="5" t="s">
        <v>50</v>
      </c>
      <c r="I472" s="10">
        <f>_xlfn.AGGREGATE(5,1,(F162:H163))</f>
        <v>9.5399999999999991</v>
      </c>
      <c r="J472" s="15" t="s">
        <v>61</v>
      </c>
      <c r="K472" s="6"/>
      <c r="L472" s="6"/>
      <c r="N472" s="5"/>
      <c r="O472" s="5"/>
    </row>
    <row r="473" spans="1:15" x14ac:dyDescent="0.3">
      <c r="A473" s="38"/>
      <c r="B473" s="38"/>
      <c r="C473" s="27" t="s">
        <v>461</v>
      </c>
      <c r="D473" s="27"/>
      <c r="E473" s="6" t="s">
        <v>50</v>
      </c>
      <c r="F473" s="5" t="s">
        <v>462</v>
      </c>
      <c r="G473" s="10">
        <f>I467/I470</f>
        <v>1</v>
      </c>
      <c r="H473" s="11" t="str">
        <f>IF(G473&lt;=I473,"&lt;","³")</f>
        <v>³</v>
      </c>
      <c r="I473" s="21">
        <v>0.2</v>
      </c>
      <c r="J473" s="41"/>
      <c r="K473" s="41"/>
      <c r="L473" s="41"/>
      <c r="N473" s="5"/>
      <c r="O473" s="5"/>
    </row>
    <row r="474" spans="1:15" x14ac:dyDescent="0.3">
      <c r="A474" s="38"/>
      <c r="B474" s="38"/>
      <c r="C474" s="38"/>
      <c r="D474" s="38"/>
      <c r="E474" s="31" t="s">
        <v>50</v>
      </c>
      <c r="F474" s="31" t="str">
        <f>IF(H473="&lt;","Menggunakan Pers. H1-1b","Menggunakan Pers. H1-1a")</f>
        <v>Menggunakan Pers. H1-1a</v>
      </c>
      <c r="G474" s="31"/>
      <c r="H474" s="33"/>
      <c r="I474" s="31"/>
      <c r="J474" s="31"/>
      <c r="K474" s="31"/>
      <c r="L474" s="31"/>
      <c r="N474" s="5"/>
      <c r="O474" s="5"/>
    </row>
    <row r="475" spans="1:15" x14ac:dyDescent="0.3">
      <c r="A475" s="38"/>
      <c r="B475" s="38"/>
      <c r="C475" s="27" t="s">
        <v>121</v>
      </c>
      <c r="D475" s="6" t="str">
        <f>IF(RIGHT(F474,1)="a","Pu/Pn","Pu/2Pn")</f>
        <v>Pu/Pn</v>
      </c>
      <c r="E475" s="6"/>
      <c r="F475" s="5" t="s">
        <v>195</v>
      </c>
      <c r="G475" s="40" t="str">
        <f>IF(RIGHT(F474,1)="a","(8/9).((Mux/Mnx)+(Muy/Mny))","((Mux/Mnx)+(Muy/Mny))")</f>
        <v>(8/9).((Mux/Mnx)+(Muy/Mny))</v>
      </c>
      <c r="H475" s="40"/>
      <c r="I475" s="40"/>
      <c r="J475" s="11" t="s">
        <v>122</v>
      </c>
      <c r="K475" s="29">
        <v>1</v>
      </c>
      <c r="L475" s="18" t="str">
        <f>_xlfn.CONCAT("(",RIGHT(F474,5),")")</f>
        <v>(H1-1a)</v>
      </c>
      <c r="N475" s="5"/>
      <c r="O475" s="5"/>
    </row>
    <row r="476" spans="1:15" ht="15.6" customHeight="1" x14ac:dyDescent="0.3">
      <c r="A476" s="38"/>
      <c r="B476" s="38"/>
      <c r="C476" s="38"/>
      <c r="D476" s="39">
        <f>IF(RIGHT(F474,1)="a",I467/I470,I467/(2*I470))</f>
        <v>1</v>
      </c>
      <c r="E476" s="39"/>
      <c r="F476" s="5" t="s">
        <v>195</v>
      </c>
      <c r="G476" s="37">
        <f>IF(RIGHT(F474,1)="a",(I468/I471)+(I469/I472)*(8/9),(I468/I471)+(I469/I472))</f>
        <v>16.226807300849554</v>
      </c>
      <c r="H476" s="37"/>
      <c r="I476" s="37"/>
      <c r="J476" s="11" t="str">
        <f>J477</f>
        <v>&gt;</v>
      </c>
      <c r="K476" s="29">
        <v>1</v>
      </c>
      <c r="N476" s="5"/>
      <c r="O476" s="5"/>
    </row>
    <row r="477" spans="1:15" ht="15.6" customHeight="1" x14ac:dyDescent="0.3">
      <c r="A477" s="38"/>
      <c r="B477" s="38"/>
      <c r="C477" s="38"/>
      <c r="D477" s="37">
        <f>D476+G476</f>
        <v>17.226807300849554</v>
      </c>
      <c r="E477" s="37"/>
      <c r="G477" s="37"/>
      <c r="H477" s="37"/>
      <c r="I477" s="37"/>
      <c r="J477" s="11" t="str">
        <f>IF(D477&lt;=K477,"£","&gt;")</f>
        <v>&gt;</v>
      </c>
      <c r="K477" s="29">
        <v>1</v>
      </c>
      <c r="N477" s="5"/>
      <c r="O477" s="5"/>
    </row>
    <row r="478" spans="1:15" ht="15.6" customHeight="1" x14ac:dyDescent="0.3">
      <c r="A478" s="38"/>
      <c r="B478" s="38"/>
      <c r="C478" s="38"/>
      <c r="D478" s="38" t="str">
        <f>IF(J477=J475,"OK","CEK LAGI")</f>
        <v>CEK LAGI</v>
      </c>
      <c r="E478" s="38"/>
      <c r="F478" s="38"/>
      <c r="G478" s="38"/>
      <c r="H478" s="38"/>
      <c r="I478" s="38"/>
      <c r="J478" s="38"/>
      <c r="K478" s="38"/>
    </row>
    <row r="479" spans="1:15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</row>
    <row r="480" spans="1:15" x14ac:dyDescent="0.3">
      <c r="A480" s="7" t="str" cm="1">
        <f t="array" aca="1" ref="A480" ca="1">IF(AND(EXACT(M480,"SUBBAB"),SUBTOTAL(103,OFFSET(M480,0,0))),CHAR(64+SUMPRODUCT((EXACT(M$4:M480,"SUBBAB"))*SUBTOTAL(103,OFFSET(M$4,ROW(M$4:M480)-ROW(M$4),0)))),"")</f>
        <v/>
      </c>
      <c r="B480" s="7">
        <f>IF(N480="ANAK",_xlfn.AGGREGATE(2,5,$B$465:B479)+1,"")</f>
        <v>2</v>
      </c>
      <c r="C480" s="42" t="s">
        <v>463</v>
      </c>
      <c r="D480" s="42"/>
      <c r="E480" s="42"/>
      <c r="F480" s="42"/>
      <c r="G480" s="42"/>
      <c r="H480" s="6"/>
      <c r="I480" s="6"/>
      <c r="J480" s="6"/>
      <c r="K480" s="6"/>
      <c r="L480" s="6"/>
      <c r="N480" s="5" t="s">
        <v>47</v>
      </c>
      <c r="O480" s="5"/>
    </row>
    <row r="481" spans="1:15" x14ac:dyDescent="0.3">
      <c r="A481" s="38"/>
      <c r="B481" s="38"/>
      <c r="C481" s="27" t="s">
        <v>464</v>
      </c>
      <c r="D481" s="27"/>
      <c r="E481" s="27"/>
      <c r="F481" s="27"/>
      <c r="G481" s="5" t="s">
        <v>55</v>
      </c>
      <c r="H481" s="5" t="s">
        <v>50</v>
      </c>
      <c r="I481" s="10">
        <f>E8</f>
        <v>10</v>
      </c>
      <c r="J481" s="15" t="s">
        <v>56</v>
      </c>
      <c r="K481" s="6"/>
      <c r="L481" s="6"/>
      <c r="N481" s="5"/>
      <c r="O481" s="5"/>
    </row>
    <row r="482" spans="1:15" x14ac:dyDescent="0.3">
      <c r="A482" s="38"/>
      <c r="B482" s="38"/>
      <c r="C482" s="27" t="s">
        <v>454</v>
      </c>
      <c r="D482" s="27"/>
      <c r="E482" s="27"/>
      <c r="F482" s="27"/>
      <c r="G482" s="5" t="s">
        <v>60</v>
      </c>
      <c r="H482" s="5" t="s">
        <v>50</v>
      </c>
      <c r="I482" s="10">
        <f>E10</f>
        <v>100</v>
      </c>
      <c r="J482" s="15" t="s">
        <v>61</v>
      </c>
      <c r="K482" s="6"/>
      <c r="L482" s="6"/>
      <c r="N482" s="5"/>
      <c r="O482" s="5"/>
    </row>
    <row r="483" spans="1:15" x14ac:dyDescent="0.3">
      <c r="A483" s="38"/>
      <c r="B483" s="38"/>
      <c r="C483" s="27" t="s">
        <v>455</v>
      </c>
      <c r="D483" s="27"/>
      <c r="E483" s="27"/>
      <c r="F483" s="27"/>
      <c r="G483" s="5" t="s">
        <v>64</v>
      </c>
      <c r="H483" s="5" t="s">
        <v>50</v>
      </c>
      <c r="I483" s="10">
        <f>E11</f>
        <v>100</v>
      </c>
      <c r="J483" s="15" t="s">
        <v>61</v>
      </c>
      <c r="K483" s="6"/>
      <c r="L483" s="6"/>
      <c r="N483" s="5"/>
      <c r="O483" s="5"/>
    </row>
    <row r="484" spans="1:15" x14ac:dyDescent="0.3">
      <c r="A484" s="38"/>
      <c r="B484" s="38"/>
      <c r="C484" s="27" t="s">
        <v>465</v>
      </c>
      <c r="D484" s="27"/>
      <c r="E484" s="27"/>
      <c r="F484" s="27"/>
      <c r="G484" s="5" t="s">
        <v>131</v>
      </c>
      <c r="H484" s="5" t="s">
        <v>50</v>
      </c>
      <c r="I484" s="10">
        <f>_xlfn.AGGREGATE(5,1,(F60:H63))</f>
        <v>10</v>
      </c>
      <c r="J484" s="15" t="s">
        <v>56</v>
      </c>
      <c r="K484" s="6"/>
      <c r="L484" s="6"/>
      <c r="N484" s="5"/>
      <c r="O484" s="5"/>
    </row>
    <row r="485" spans="1:15" x14ac:dyDescent="0.3">
      <c r="A485" s="38"/>
      <c r="B485" s="38"/>
      <c r="C485" s="27" t="s">
        <v>457</v>
      </c>
      <c r="D485" s="27"/>
      <c r="E485" s="27"/>
      <c r="F485" s="27"/>
      <c r="G485" s="5" t="s">
        <v>458</v>
      </c>
      <c r="H485" s="5" t="s">
        <v>50</v>
      </c>
      <c r="I485" s="10">
        <f>I471</f>
        <v>14.473217492512267</v>
      </c>
      <c r="J485" s="15" t="s">
        <v>61</v>
      </c>
      <c r="K485" s="6"/>
      <c r="L485" s="6"/>
      <c r="N485" s="5"/>
      <c r="O485" s="5"/>
    </row>
    <row r="486" spans="1:15" x14ac:dyDescent="0.3">
      <c r="A486" s="38"/>
      <c r="B486" s="38"/>
      <c r="C486" s="27" t="s">
        <v>459</v>
      </c>
      <c r="D486" s="27"/>
      <c r="E486" s="27"/>
      <c r="F486" s="27"/>
      <c r="G486" s="5" t="s">
        <v>460</v>
      </c>
      <c r="H486" s="5" t="s">
        <v>50</v>
      </c>
      <c r="I486" s="10">
        <f>I472</f>
        <v>9.5399999999999991</v>
      </c>
      <c r="J486" s="15" t="s">
        <v>61</v>
      </c>
      <c r="K486" s="6"/>
      <c r="L486" s="6"/>
      <c r="N486" s="5"/>
      <c r="O486" s="5"/>
    </row>
    <row r="487" spans="1:15" x14ac:dyDescent="0.3">
      <c r="A487" s="38"/>
      <c r="B487" s="38"/>
      <c r="C487" s="27" t="s">
        <v>461</v>
      </c>
      <c r="D487" s="27"/>
      <c r="E487" s="6" t="s">
        <v>50</v>
      </c>
      <c r="F487" s="5" t="s">
        <v>462</v>
      </c>
      <c r="G487" s="10">
        <f>I481/I484</f>
        <v>1</v>
      </c>
      <c r="H487" s="11" t="str">
        <f>IF(G487&lt;=I487,"&lt;","³")</f>
        <v>³</v>
      </c>
      <c r="I487" s="21">
        <v>0.2</v>
      </c>
      <c r="J487" s="41"/>
      <c r="K487" s="41"/>
      <c r="L487" s="41"/>
      <c r="N487" s="5"/>
      <c r="O487" s="5"/>
    </row>
    <row r="488" spans="1:15" x14ac:dyDescent="0.3">
      <c r="A488" s="38"/>
      <c r="B488" s="38"/>
      <c r="C488" s="38"/>
      <c r="D488" s="38"/>
      <c r="E488" s="31" t="s">
        <v>50</v>
      </c>
      <c r="F488" s="31" t="str">
        <f>IF(H487="&lt;","Menggunakan Pers. H1-1b","Menggunakan Pers. H1-1a")</f>
        <v>Menggunakan Pers. H1-1a</v>
      </c>
      <c r="G488" s="31"/>
      <c r="H488" s="31"/>
      <c r="I488" s="31"/>
      <c r="J488" s="31"/>
      <c r="K488" s="31"/>
      <c r="L488" s="31"/>
      <c r="N488" s="5"/>
      <c r="O488" s="5"/>
    </row>
    <row r="489" spans="1:15" x14ac:dyDescent="0.3">
      <c r="A489" s="38"/>
      <c r="B489" s="38"/>
      <c r="C489" s="27" t="s">
        <v>121</v>
      </c>
      <c r="D489" s="6" t="str">
        <f>IF(RIGHT(F488,1)="a","Pu/Pn","Pu/2Pn")</f>
        <v>Pu/Pn</v>
      </c>
      <c r="E489" s="6"/>
      <c r="F489" s="5" t="s">
        <v>195</v>
      </c>
      <c r="G489" s="40" t="str">
        <f>IF(RIGHT(F488,1)="a","(8/9).((Mux/Mnx)+(Muy/Mny))","((Mux/Mnx)+(Muy/Mny))")</f>
        <v>(8/9).((Mux/Mnx)+(Muy/Mny))</v>
      </c>
      <c r="H489" s="40"/>
      <c r="I489" s="40"/>
      <c r="J489" s="11" t="s">
        <v>122</v>
      </c>
      <c r="K489" s="29">
        <v>1</v>
      </c>
      <c r="L489" s="18" t="str">
        <f>_xlfn.CONCAT("(",RIGHT(F488,5),")")</f>
        <v>(H1-1a)</v>
      </c>
      <c r="N489" s="5"/>
      <c r="O489" s="5"/>
    </row>
    <row r="490" spans="1:15" ht="15.6" customHeight="1" x14ac:dyDescent="0.3">
      <c r="A490" s="38"/>
      <c r="B490" s="38"/>
      <c r="C490" s="38"/>
      <c r="D490" s="39">
        <f>IF(RIGHT(F488,1)="a",I481/I484,I481/(2*I484))</f>
        <v>1</v>
      </c>
      <c r="E490" s="39"/>
      <c r="F490" s="5" t="s">
        <v>195</v>
      </c>
      <c r="G490" s="37">
        <f>IF(RIGHT(F488,1)="a",(I482/I485)+(I483/I486)*(8/9),(I482/I485)+(I483/I486))</f>
        <v>16.226807300849554</v>
      </c>
      <c r="H490" s="37"/>
      <c r="I490" s="37"/>
      <c r="J490" s="11" t="str">
        <f>J491</f>
        <v>&gt;</v>
      </c>
      <c r="K490" s="29">
        <v>1</v>
      </c>
      <c r="N490" s="5"/>
      <c r="O490" s="5"/>
    </row>
    <row r="491" spans="1:15" ht="15.6" customHeight="1" x14ac:dyDescent="0.3">
      <c r="A491" s="38"/>
      <c r="B491" s="38"/>
      <c r="C491" s="38"/>
      <c r="D491" s="37">
        <f>D490+G490</f>
        <v>17.226807300849554</v>
      </c>
      <c r="E491" s="37"/>
      <c r="G491" s="37"/>
      <c r="H491" s="37"/>
      <c r="I491" s="37"/>
      <c r="J491" s="11" t="str">
        <f>IF(D491&lt;=K491,"£","&gt;")</f>
        <v>&gt;</v>
      </c>
      <c r="K491" s="29">
        <v>1</v>
      </c>
      <c r="N491" s="5"/>
      <c r="O491" s="5"/>
    </row>
    <row r="492" spans="1:15" ht="15.6" customHeight="1" x14ac:dyDescent="0.3">
      <c r="A492" s="38"/>
      <c r="B492" s="38"/>
      <c r="C492" s="38"/>
      <c r="D492" s="38" t="str">
        <f>IF(J491=J489,"OK","CEK LAGI")</f>
        <v>CEK LAGI</v>
      </c>
      <c r="E492" s="38"/>
      <c r="F492" s="38"/>
      <c r="G492" s="38"/>
      <c r="H492" s="38"/>
      <c r="I492" s="38"/>
      <c r="J492" s="38"/>
      <c r="K492" s="38"/>
    </row>
  </sheetData>
  <sheetProtection formatRows="0" selectLockedCells="1"/>
  <dataValidations count="1">
    <dataValidation type="list" allowBlank="1" showInputMessage="1" showErrorMessage="1" sqref="E17" xr:uid="{87D8D0EA-6CB6-430F-9762-B44143EBC9C1}">
      <formula1>"Ya,Tidak"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portrait" r:id="rId1"/>
  <headerFooter>
    <oddFooter xml:space="preserve">&amp;R
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1F7D8A-C2A3-4B32-8C1D-18002E386030}">
          <x14:formula1>
            <xm:f>'Tabel WF'!$A$5:$A$98</xm:f>
          </x14:formula1>
          <xm:sqref>E20:F20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 WF</vt:lpstr>
      <vt:lpstr>WF</vt:lpstr>
      <vt:lpstr>WF!Print_Area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Sultonul Khakim</dc:creator>
  <cp:lastModifiedBy>Muhammad Sultonul Khakim</cp:lastModifiedBy>
  <dcterms:created xsi:type="dcterms:W3CDTF">2025-05-15T13:54:29Z</dcterms:created>
  <dcterms:modified xsi:type="dcterms:W3CDTF">2025-05-18T10:32:56Z</dcterms:modified>
</cp:coreProperties>
</file>