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CC7\"/>
    </mc:Choice>
  </mc:AlternateContent>
  <xr:revisionPtr revIDLastSave="0" documentId="13_ncr:1_{8BC16824-C7C5-4F70-92CE-675EFC13D1EF}" xr6:coauthVersionLast="47" xr6:coauthVersionMax="47" xr10:uidLastSave="{00000000-0000-0000-0000-000000000000}"/>
  <bookViews>
    <workbookView xWindow="-120" yWindow="-120" windowWidth="20730" windowHeight="11760" tabRatio="889" activeTab="7" xr2:uid="{3DB01332-D3B5-4092-AE1B-091B0C4F8A7C}"/>
  </bookViews>
  <sheets>
    <sheet name="List" sheetId="16" r:id="rId1"/>
    <sheet name="Detail Product" sheetId="1" r:id="rId2"/>
    <sheet name="Pivot Product" sheetId="42" r:id="rId3"/>
    <sheet name="Purchase" sheetId="18" r:id="rId4"/>
    <sheet name="Transaction" sheetId="21" r:id="rId5"/>
    <sheet name="Power Pivot Diagrams" sheetId="56" r:id="rId6"/>
    <sheet name="Pivot Profit Transaction" sheetId="55" r:id="rId7"/>
    <sheet name="Scenario Summary" sheetId="57" r:id="rId8"/>
    <sheet name="Schema Installment" sheetId="28" r:id="rId9"/>
    <sheet name="Pivot Schema Installment 12" sheetId="38" r:id="rId10"/>
    <sheet name="Pivot Schema Installment 9" sheetId="35" r:id="rId11"/>
    <sheet name="Profit Isntallment" sheetId="30" r:id="rId12"/>
    <sheet name="Pivot Schema Installment" sheetId="39" r:id="rId13"/>
    <sheet name="DATA STORE 2019-2021" sheetId="40" r:id="rId14"/>
    <sheet name="Pivot-Charrt Store 2019-2021" sheetId="53" r:id="rId15"/>
    <sheet name="Contoh" sheetId="58" r:id="rId16"/>
  </sheets>
  <definedNames>
    <definedName name="_xlcn.WorksheetConnection_OppoOfficialStore.xlsxTable111" hidden="1">Table11[]</definedName>
    <definedName name="_xlcn.WorksheetConnection_OppoOfficialStore.xlsxTable21" hidden="1">Table2[]</definedName>
  </definedNames>
  <calcPr calcId="191029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ransaction" connection="WorksheetConnection_Oppo Official Store.xlsx!Table2"/>
          <x15:modelTable id="Table11" name="Detail Product" connection="WorksheetConnection_Oppo Official Store.xlsx!Table11"/>
        </x15:modelTables>
        <x15:modelRelationships>
          <x15:modelRelationship fromTable="Transaction" fromColumn="Category" toTable="Detail Product" toColumn="ID Produc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G4" i="16"/>
  <c r="G5" i="16"/>
  <c r="G6" i="16"/>
  <c r="G7" i="16"/>
  <c r="G8" i="16"/>
  <c r="G3" i="16"/>
  <c r="F4" i="16"/>
  <c r="F5" i="16"/>
  <c r="F6" i="16"/>
  <c r="F7" i="16"/>
  <c r="F8" i="16"/>
  <c r="F3" i="16"/>
  <c r="F3" i="1" l="1"/>
  <c r="J5" i="21" s="1"/>
  <c r="B9" i="30"/>
  <c r="B6" i="30"/>
  <c r="B10" i="30"/>
  <c r="B11" i="30"/>
  <c r="B12" i="30"/>
  <c r="B13" i="30"/>
  <c r="B14" i="30"/>
  <c r="B15" i="30"/>
  <c r="B16" i="30"/>
  <c r="B17" i="30"/>
  <c r="B18" i="30"/>
  <c r="B3" i="30"/>
  <c r="B8" i="21"/>
  <c r="B8" i="30" s="1"/>
  <c r="B7" i="21"/>
  <c r="B7" i="30" s="1"/>
  <c r="B6" i="21"/>
  <c r="B5" i="21"/>
  <c r="B5" i="30" s="1"/>
  <c r="B4" i="21"/>
  <c r="B4" i="30" s="1"/>
  <c r="B3" i="21"/>
  <c r="I3" i="21" l="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D2" i="40" l="1"/>
  <c r="E2" i="40" s="1"/>
  <c r="F2" i="40"/>
  <c r="G2" i="40" s="1"/>
  <c r="H2" i="40" s="1"/>
  <c r="D3" i="40"/>
  <c r="E3" i="40" s="1"/>
  <c r="D4" i="40"/>
  <c r="E4" i="40" s="1"/>
  <c r="D5" i="40"/>
  <c r="E5" i="40" s="1"/>
  <c r="D6" i="40"/>
  <c r="E6" i="40" s="1"/>
  <c r="D7" i="40"/>
  <c r="E7" i="40" s="1"/>
  <c r="D8" i="40"/>
  <c r="E8" i="40" s="1"/>
  <c r="D9" i="40"/>
  <c r="E9" i="40" s="1"/>
  <c r="D10" i="40"/>
  <c r="E10" i="40" s="1"/>
  <c r="D11" i="40"/>
  <c r="E11" i="40" s="1"/>
  <c r="D12" i="40"/>
  <c r="E12" i="40" s="1"/>
  <c r="D13" i="40"/>
  <c r="E13" i="40" s="1"/>
  <c r="D14" i="40"/>
  <c r="E14" i="40" s="1"/>
  <c r="D15" i="40"/>
  <c r="E15" i="40" s="1"/>
  <c r="D16" i="40"/>
  <c r="E16" i="40" s="1"/>
  <c r="D17" i="40"/>
  <c r="E17" i="40" s="1"/>
  <c r="D18" i="40"/>
  <c r="E18" i="40" s="1"/>
  <c r="D19" i="40"/>
  <c r="E19" i="40" s="1"/>
  <c r="D20" i="40"/>
  <c r="E20" i="40" s="1"/>
  <c r="D21" i="40"/>
  <c r="E21" i="40" s="1"/>
  <c r="D22" i="40"/>
  <c r="E22" i="40" s="1"/>
  <c r="D23" i="40"/>
  <c r="E23" i="40" s="1"/>
  <c r="D24" i="40"/>
  <c r="E24" i="40" s="1"/>
  <c r="D25" i="40"/>
  <c r="E25" i="40" s="1"/>
  <c r="D26" i="40"/>
  <c r="E26" i="40" s="1"/>
  <c r="D27" i="40"/>
  <c r="E27" i="40" s="1"/>
  <c r="D28" i="40"/>
  <c r="E28" i="40" s="1"/>
  <c r="D29" i="40"/>
  <c r="E29" i="40" s="1"/>
  <c r="D30" i="40"/>
  <c r="E30" i="40" s="1"/>
  <c r="D31" i="40"/>
  <c r="E31" i="40" s="1"/>
  <c r="D32" i="40"/>
  <c r="E32" i="40" s="1"/>
  <c r="D33" i="40"/>
  <c r="E33" i="40" s="1"/>
  <c r="I2" i="40" l="1"/>
  <c r="J2" i="40" s="1"/>
  <c r="F4" i="1"/>
  <c r="F5" i="1"/>
  <c r="J14" i="21" s="1"/>
  <c r="F6" i="1"/>
  <c r="J18" i="21" s="1"/>
  <c r="F7" i="1"/>
  <c r="F8" i="1"/>
  <c r="J8" i="21" s="1"/>
  <c r="F9" i="1"/>
  <c r="J3" i="21" s="1"/>
  <c r="F10" i="1"/>
  <c r="F11" i="1"/>
  <c r="J13" i="21" s="1"/>
  <c r="F12" i="1"/>
  <c r="F13" i="1"/>
  <c r="F14" i="1"/>
  <c r="F15" i="1"/>
  <c r="J4" i="21" s="1"/>
  <c r="F16" i="1"/>
  <c r="F17" i="1"/>
  <c r="J17" i="21" s="1"/>
  <c r="F18" i="1"/>
  <c r="J15" i="21" s="1"/>
  <c r="F19" i="1"/>
  <c r="F20" i="1"/>
  <c r="F21" i="1"/>
  <c r="F22" i="1"/>
  <c r="F23" i="1"/>
  <c r="J10" i="21" s="1"/>
  <c r="F24" i="1"/>
  <c r="F25" i="1"/>
  <c r="J12" i="21" s="1"/>
  <c r="F26" i="1"/>
  <c r="F27" i="1"/>
  <c r="J16" i="21" s="1"/>
  <c r="F28" i="1"/>
  <c r="F29" i="1"/>
  <c r="F30" i="1"/>
  <c r="F31" i="1"/>
  <c r="F32" i="1"/>
  <c r="F33" i="1"/>
  <c r="J9" i="21" s="1"/>
  <c r="F34" i="1"/>
  <c r="J7" i="21" s="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3" i="21"/>
  <c r="J11" i="21" l="1"/>
  <c r="J6" i="21"/>
  <c r="B39" i="28"/>
  <c r="B40" i="28"/>
  <c r="B41" i="28"/>
  <c r="B42" i="28"/>
  <c r="B43" i="28"/>
  <c r="B44" i="28"/>
  <c r="F44" i="28" s="1"/>
  <c r="G44" i="28" s="1"/>
  <c r="H44" i="28" s="1"/>
  <c r="I44" i="28" s="1"/>
  <c r="J44" i="28" s="1"/>
  <c r="B45" i="28"/>
  <c r="F45" i="28" s="1"/>
  <c r="B46" i="28"/>
  <c r="B47" i="28"/>
  <c r="F47" i="28" s="1"/>
  <c r="G47" i="28" s="1"/>
  <c r="H47" i="28" s="1"/>
  <c r="I47" i="28" s="1"/>
  <c r="J47" i="28" s="1"/>
  <c r="B48" i="28"/>
  <c r="F48" i="28" s="1"/>
  <c r="G48" i="28" s="1"/>
  <c r="H48" i="28" s="1"/>
  <c r="I48" i="28" s="1"/>
  <c r="J48" i="28" s="1"/>
  <c r="B49" i="28"/>
  <c r="F49" i="28" s="1"/>
  <c r="G49" i="28" s="1"/>
  <c r="H49" i="28" s="1"/>
  <c r="I49" i="28" s="1"/>
  <c r="J49" i="28" s="1"/>
  <c r="B50" i="28"/>
  <c r="F50" i="28" s="1"/>
  <c r="G50" i="28" s="1"/>
  <c r="H50" i="28" s="1"/>
  <c r="I50" i="28" s="1"/>
  <c r="J50" i="28" s="1"/>
  <c r="B51" i="28"/>
  <c r="F51" i="28" s="1"/>
  <c r="G51" i="28" s="1"/>
  <c r="H51" i="28" s="1"/>
  <c r="I51" i="28" s="1"/>
  <c r="J51" i="28" s="1"/>
  <c r="B52" i="28"/>
  <c r="F52" i="28" s="1"/>
  <c r="G52" i="28" s="1"/>
  <c r="H52" i="28" s="1"/>
  <c r="I52" i="28" s="1"/>
  <c r="J52" i="28" s="1"/>
  <c r="B53" i="28"/>
  <c r="F53" i="28" s="1"/>
  <c r="B54" i="28"/>
  <c r="B55" i="28"/>
  <c r="F55" i="28" s="1"/>
  <c r="G55" i="28" s="1"/>
  <c r="H55" i="28" s="1"/>
  <c r="I55" i="28" s="1"/>
  <c r="J55" i="28" s="1"/>
  <c r="B56" i="28"/>
  <c r="F56" i="28" s="1"/>
  <c r="G56" i="28" s="1"/>
  <c r="H56" i="28" s="1"/>
  <c r="I56" i="28" s="1"/>
  <c r="J56" i="28" s="1"/>
  <c r="B57" i="28"/>
  <c r="F57" i="28" s="1"/>
  <c r="G57" i="28" s="1"/>
  <c r="H57" i="28" s="1"/>
  <c r="I57" i="28" s="1"/>
  <c r="J57" i="28" s="1"/>
  <c r="B58" i="28"/>
  <c r="F58" i="28" s="1"/>
  <c r="G58" i="28" s="1"/>
  <c r="H58" i="28" s="1"/>
  <c r="I58" i="28" s="1"/>
  <c r="J58" i="28" s="1"/>
  <c r="B59" i="28"/>
  <c r="F59" i="28" s="1"/>
  <c r="G59" i="28" s="1"/>
  <c r="H59" i="28" s="1"/>
  <c r="I59" i="28" s="1"/>
  <c r="J59" i="28" s="1"/>
  <c r="B60" i="28"/>
  <c r="B61" i="28"/>
  <c r="F61" i="28" s="1"/>
  <c r="B62" i="28"/>
  <c r="B63" i="28"/>
  <c r="F63" i="28" s="1"/>
  <c r="G63" i="28" s="1"/>
  <c r="H63" i="28" s="1"/>
  <c r="I63" i="28" s="1"/>
  <c r="J63" i="28" s="1"/>
  <c r="B64" i="28"/>
  <c r="F64" i="28" s="1"/>
  <c r="G64" i="28" s="1"/>
  <c r="H64" i="28" s="1"/>
  <c r="I64" i="28" s="1"/>
  <c r="J64" i="28" s="1"/>
  <c r="B65" i="28"/>
  <c r="F65" i="28" s="1"/>
  <c r="G65" i="28" s="1"/>
  <c r="H65" i="28" s="1"/>
  <c r="I65" i="28" s="1"/>
  <c r="J65" i="28" s="1"/>
  <c r="B66" i="28"/>
  <c r="F66" i="28" s="1"/>
  <c r="G66" i="28" s="1"/>
  <c r="H66" i="28" s="1"/>
  <c r="I66" i="28" s="1"/>
  <c r="J66" i="28" s="1"/>
  <c r="B67" i="28"/>
  <c r="F67" i="28" s="1"/>
  <c r="G67" i="28" s="1"/>
  <c r="H67" i="28" s="1"/>
  <c r="I67" i="28" s="1"/>
  <c r="J67" i="28" s="1"/>
  <c r="B68" i="28"/>
  <c r="B69" i="28"/>
  <c r="F69" i="28" s="1"/>
  <c r="B38" i="28"/>
  <c r="F38" i="28" s="1"/>
  <c r="F39" i="28"/>
  <c r="G39" i="28" s="1"/>
  <c r="F40" i="28"/>
  <c r="G40" i="28" s="1"/>
  <c r="H40" i="28" s="1"/>
  <c r="I40" i="28" s="1"/>
  <c r="J40" i="28" s="1"/>
  <c r="F41" i="28"/>
  <c r="G41" i="28" s="1"/>
  <c r="H41" i="28" s="1"/>
  <c r="I41" i="28" s="1"/>
  <c r="J41" i="28" s="1"/>
  <c r="F42" i="28"/>
  <c r="G42" i="28" s="1"/>
  <c r="H42" i="28" s="1"/>
  <c r="I42" i="28" s="1"/>
  <c r="J42" i="28" s="1"/>
  <c r="F43" i="28"/>
  <c r="G43" i="28" s="1"/>
  <c r="H43" i="28" s="1"/>
  <c r="I43" i="28" s="1"/>
  <c r="J43" i="28" s="1"/>
  <c r="J3" i="30"/>
  <c r="J4" i="30"/>
  <c r="J5" i="30"/>
  <c r="J6" i="30"/>
  <c r="J7" i="30"/>
  <c r="J8" i="30"/>
  <c r="K8" i="30" s="1"/>
  <c r="J9" i="30"/>
  <c r="K9" i="30" s="1"/>
  <c r="J10" i="30"/>
  <c r="K10" i="30" s="1"/>
  <c r="J11" i="30"/>
  <c r="K11" i="30" s="1"/>
  <c r="J12" i="30"/>
  <c r="K12" i="30" s="1"/>
  <c r="J13" i="30"/>
  <c r="K13" i="30" s="1"/>
  <c r="J14" i="30"/>
  <c r="J15" i="30"/>
  <c r="K15" i="30" s="1"/>
  <c r="J16" i="30"/>
  <c r="J17" i="30"/>
  <c r="J18" i="30"/>
  <c r="K18" i="30" s="1"/>
  <c r="K3" i="30"/>
  <c r="K4" i="30"/>
  <c r="K5" i="30"/>
  <c r="K6" i="30"/>
  <c r="K7" i="30"/>
  <c r="K14" i="30"/>
  <c r="K16" i="30"/>
  <c r="K17" i="30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F31" i="28" s="1"/>
  <c r="B32" i="28"/>
  <c r="B33" i="28"/>
  <c r="B34" i="28"/>
  <c r="B3" i="28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I20" i="40" l="1"/>
  <c r="G20" i="40"/>
  <c r="H20" i="40" s="1"/>
  <c r="G27" i="40"/>
  <c r="H27" i="40" s="1"/>
  <c r="I27" i="40"/>
  <c r="G19" i="40"/>
  <c r="H19" i="40" s="1"/>
  <c r="I19" i="40"/>
  <c r="G11" i="40"/>
  <c r="H11" i="40" s="1"/>
  <c r="I11" i="40"/>
  <c r="G3" i="40"/>
  <c r="H3" i="40" s="1"/>
  <c r="I3" i="40"/>
  <c r="G28" i="40"/>
  <c r="H28" i="40" s="1"/>
  <c r="I28" i="40"/>
  <c r="G26" i="40"/>
  <c r="H26" i="40" s="1"/>
  <c r="I26" i="40"/>
  <c r="J26" i="40" s="1"/>
  <c r="G17" i="40"/>
  <c r="H17" i="40" s="1"/>
  <c r="I17" i="40"/>
  <c r="G9" i="40"/>
  <c r="H9" i="40" s="1"/>
  <c r="I9" i="40"/>
  <c r="G12" i="40"/>
  <c r="H12" i="40" s="1"/>
  <c r="I12" i="40"/>
  <c r="G18" i="40"/>
  <c r="H18" i="40" s="1"/>
  <c r="I18" i="40"/>
  <c r="J18" i="40" s="1"/>
  <c r="G25" i="40"/>
  <c r="H25" i="40" s="1"/>
  <c r="I25" i="40"/>
  <c r="G24" i="40"/>
  <c r="H24" i="40" s="1"/>
  <c r="I24" i="40"/>
  <c r="G16" i="40"/>
  <c r="H16" i="40" s="1"/>
  <c r="I16" i="40"/>
  <c r="G8" i="40"/>
  <c r="H8" i="40" s="1"/>
  <c r="I8" i="40"/>
  <c r="J8" i="40" s="1"/>
  <c r="G4" i="40"/>
  <c r="H4" i="40" s="1"/>
  <c r="I4" i="40"/>
  <c r="G10" i="40"/>
  <c r="H10" i="40" s="1"/>
  <c r="I10" i="40"/>
  <c r="G33" i="40"/>
  <c r="H33" i="40" s="1"/>
  <c r="I33" i="40"/>
  <c r="G32" i="40"/>
  <c r="H32" i="40" s="1"/>
  <c r="I32" i="40"/>
  <c r="J32" i="40" s="1"/>
  <c r="G31" i="40"/>
  <c r="H31" i="40" s="1"/>
  <c r="I31" i="40"/>
  <c r="G23" i="40"/>
  <c r="H23" i="40" s="1"/>
  <c r="I23" i="40"/>
  <c r="G15" i="40"/>
  <c r="H15" i="40" s="1"/>
  <c r="I15" i="40"/>
  <c r="G7" i="40"/>
  <c r="H7" i="40" s="1"/>
  <c r="I7" i="40"/>
  <c r="J7" i="40" s="1"/>
  <c r="H39" i="28"/>
  <c r="I39" i="28" s="1"/>
  <c r="J39" i="28" s="1"/>
  <c r="G30" i="40"/>
  <c r="H30" i="40" s="1"/>
  <c r="I30" i="40"/>
  <c r="I22" i="40"/>
  <c r="G22" i="40"/>
  <c r="H22" i="40" s="1"/>
  <c r="G14" i="40"/>
  <c r="H14" i="40" s="1"/>
  <c r="I14" i="40"/>
  <c r="G6" i="40"/>
  <c r="H6" i="40" s="1"/>
  <c r="I6" i="40"/>
  <c r="G29" i="40"/>
  <c r="H29" i="40" s="1"/>
  <c r="I29" i="40"/>
  <c r="G21" i="40"/>
  <c r="H21" i="40" s="1"/>
  <c r="I21" i="40"/>
  <c r="G13" i="40"/>
  <c r="H13" i="40" s="1"/>
  <c r="I13" i="40"/>
  <c r="J13" i="40" s="1"/>
  <c r="G5" i="40"/>
  <c r="H5" i="40" s="1"/>
  <c r="I5" i="40"/>
  <c r="F54" i="28"/>
  <c r="G54" i="28" s="1"/>
  <c r="H54" i="28" s="1"/>
  <c r="I54" i="28" s="1"/>
  <c r="J54" i="28" s="1"/>
  <c r="F46" i="28"/>
  <c r="G46" i="28" s="1"/>
  <c r="H46" i="28" s="1"/>
  <c r="I46" i="28" s="1"/>
  <c r="J46" i="28" s="1"/>
  <c r="G61" i="28"/>
  <c r="H61" i="28" s="1"/>
  <c r="I61" i="28" s="1"/>
  <c r="J61" i="28" s="1"/>
  <c r="G53" i="28"/>
  <c r="H53" i="28" s="1"/>
  <c r="I53" i="28" s="1"/>
  <c r="J53" i="28" s="1"/>
  <c r="G45" i="28"/>
  <c r="H45" i="28" s="1"/>
  <c r="I45" i="28" s="1"/>
  <c r="J45" i="28" s="1"/>
  <c r="F62" i="28"/>
  <c r="G62" i="28" s="1"/>
  <c r="H62" i="28" s="1"/>
  <c r="I62" i="28" s="1"/>
  <c r="J62" i="28" s="1"/>
  <c r="G69" i="28"/>
  <c r="H69" i="28" s="1"/>
  <c r="I69" i="28" s="1"/>
  <c r="J69" i="28" s="1"/>
  <c r="F68" i="28"/>
  <c r="G68" i="28" s="1"/>
  <c r="H68" i="28" s="1"/>
  <c r="I68" i="28" s="1"/>
  <c r="J68" i="28" s="1"/>
  <c r="F60" i="28"/>
  <c r="G60" i="28" s="1"/>
  <c r="H60" i="28" s="1"/>
  <c r="I60" i="28" s="1"/>
  <c r="J60" i="28" s="1"/>
  <c r="G38" i="28"/>
  <c r="L18" i="30"/>
  <c r="L17" i="30"/>
  <c r="L15" i="30"/>
  <c r="L10" i="30"/>
  <c r="L9" i="30"/>
  <c r="L7" i="30"/>
  <c r="M7" i="30" s="1"/>
  <c r="N7" i="30" s="1"/>
  <c r="O7" i="30" s="1"/>
  <c r="F18" i="30"/>
  <c r="F17" i="30"/>
  <c r="F16" i="30"/>
  <c r="L16" i="30" s="1"/>
  <c r="F15" i="30"/>
  <c r="F14" i="30"/>
  <c r="L14" i="30" s="1"/>
  <c r="F13" i="30"/>
  <c r="L13" i="30" s="1"/>
  <c r="F12" i="30"/>
  <c r="L12" i="30" s="1"/>
  <c r="F11" i="30"/>
  <c r="L11" i="30" s="1"/>
  <c r="F10" i="30"/>
  <c r="F9" i="30"/>
  <c r="F8" i="30"/>
  <c r="L8" i="30" s="1"/>
  <c r="F7" i="30"/>
  <c r="F6" i="30"/>
  <c r="L6" i="30" s="1"/>
  <c r="M6" i="30" s="1"/>
  <c r="N6" i="30" s="1"/>
  <c r="O6" i="30" s="1"/>
  <c r="F5" i="30"/>
  <c r="L5" i="30" s="1"/>
  <c r="F4" i="30"/>
  <c r="L4" i="30" s="1"/>
  <c r="F3" i="30"/>
  <c r="L3" i="30" s="1"/>
  <c r="M3" i="30" s="1"/>
  <c r="N3" i="30" s="1"/>
  <c r="O3" i="30" s="1"/>
  <c r="J5" i="40" l="1"/>
  <c r="J19" i="40"/>
  <c r="J23" i="40"/>
  <c r="J10" i="40"/>
  <c r="J24" i="40"/>
  <c r="J9" i="40"/>
  <c r="J20" i="40"/>
  <c r="J31" i="40"/>
  <c r="J4" i="40"/>
  <c r="J25" i="40"/>
  <c r="J17" i="40"/>
  <c r="J11" i="40"/>
  <c r="M11" i="30"/>
  <c r="N11" i="30" s="1"/>
  <c r="O11" i="30" s="1"/>
  <c r="M5" i="30"/>
  <c r="N5" i="30" s="1"/>
  <c r="O5" i="30" s="1"/>
  <c r="M14" i="30"/>
  <c r="N14" i="30" s="1"/>
  <c r="O14" i="30" s="1"/>
  <c r="M12" i="30"/>
  <c r="N12" i="30" s="1"/>
  <c r="O12" i="30" s="1"/>
  <c r="M8" i="30"/>
  <c r="N8" i="30" s="1"/>
  <c r="O8" i="30" s="1"/>
  <c r="M4" i="30"/>
  <c r="N4" i="30" s="1"/>
  <c r="O4" i="30" s="1"/>
  <c r="M13" i="30"/>
  <c r="N13" i="30" s="1"/>
  <c r="O13" i="30" s="1"/>
  <c r="M16" i="30"/>
  <c r="N16" i="30" s="1"/>
  <c r="O16" i="30" s="1"/>
  <c r="M15" i="30"/>
  <c r="N15" i="30" s="1"/>
  <c r="O15" i="30" s="1"/>
  <c r="J6" i="40"/>
  <c r="O18" i="30"/>
  <c r="M18" i="30"/>
  <c r="N18" i="30" s="1"/>
  <c r="J21" i="40"/>
  <c r="J22" i="40"/>
  <c r="J15" i="40"/>
  <c r="J33" i="40"/>
  <c r="J16" i="40"/>
  <c r="J12" i="40"/>
  <c r="J28" i="40"/>
  <c r="J27" i="40"/>
  <c r="M9" i="30"/>
  <c r="N9" i="30" s="1"/>
  <c r="O9" i="30" s="1"/>
  <c r="O10" i="30"/>
  <c r="M10" i="30"/>
  <c r="N10" i="30" s="1"/>
  <c r="J14" i="40"/>
  <c r="H38" i="28"/>
  <c r="I38" i="28" s="1"/>
  <c r="J38" i="28" s="1"/>
  <c r="J29" i="40"/>
  <c r="M17" i="30"/>
  <c r="N17" i="30" s="1"/>
  <c r="O17" i="30" s="1"/>
  <c r="J30" i="40"/>
  <c r="J3" i="40"/>
  <c r="F8" i="28"/>
  <c r="G8" i="28" s="1"/>
  <c r="F7" i="28"/>
  <c r="G7" i="28" s="1"/>
  <c r="F6" i="28"/>
  <c r="G6" i="28" s="1"/>
  <c r="F5" i="28"/>
  <c r="G5" i="28" s="1"/>
  <c r="F4" i="28"/>
  <c r="G4" i="28" s="1"/>
  <c r="F3" i="28"/>
  <c r="G3" i="28" s="1"/>
  <c r="F34" i="28"/>
  <c r="G34" i="28" s="1"/>
  <c r="H34" i="28" s="1"/>
  <c r="I34" i="28" s="1"/>
  <c r="J34" i="28" s="1"/>
  <c r="F33" i="28"/>
  <c r="G33" i="28" s="1"/>
  <c r="F32" i="28"/>
  <c r="G32" i="28" s="1"/>
  <c r="H32" i="28" s="1"/>
  <c r="G31" i="28"/>
  <c r="H31" i="28" s="1"/>
  <c r="F30" i="28"/>
  <c r="G30" i="28" s="1"/>
  <c r="F29" i="28"/>
  <c r="G29" i="28" s="1"/>
  <c r="F28" i="28"/>
  <c r="G28" i="28" s="1"/>
  <c r="F27" i="28"/>
  <c r="G27" i="28" s="1"/>
  <c r="F26" i="28"/>
  <c r="G26" i="28" s="1"/>
  <c r="F25" i="28"/>
  <c r="G25" i="28" s="1"/>
  <c r="F24" i="28"/>
  <c r="G24" i="28" s="1"/>
  <c r="F23" i="28"/>
  <c r="G23" i="28" s="1"/>
  <c r="F22" i="28"/>
  <c r="G22" i="28" s="1"/>
  <c r="F21" i="28"/>
  <c r="G21" i="28" s="1"/>
  <c r="F20" i="28"/>
  <c r="G20" i="28" s="1"/>
  <c r="F19" i="28"/>
  <c r="G19" i="28" s="1"/>
  <c r="F18" i="28"/>
  <c r="G18" i="28" s="1"/>
  <c r="F17" i="28"/>
  <c r="G17" i="28" s="1"/>
  <c r="F16" i="28"/>
  <c r="G16" i="28" s="1"/>
  <c r="F15" i="28"/>
  <c r="G15" i="28" s="1"/>
  <c r="F14" i="28"/>
  <c r="G14" i="28" s="1"/>
  <c r="F13" i="28"/>
  <c r="G13" i="28" s="1"/>
  <c r="F12" i="28"/>
  <c r="G12" i="28" s="1"/>
  <c r="F11" i="28"/>
  <c r="G11" i="28" s="1"/>
  <c r="F10" i="28"/>
  <c r="G10" i="28" s="1"/>
  <c r="F9" i="28"/>
  <c r="G9" i="28" s="1"/>
  <c r="H5" i="28" l="1"/>
  <c r="I5" i="28" s="1"/>
  <c r="J5" i="28" s="1"/>
  <c r="H18" i="28"/>
  <c r="I18" i="28" s="1"/>
  <c r="J18" i="28" s="1"/>
  <c r="H11" i="28"/>
  <c r="I11" i="28" s="1"/>
  <c r="J11" i="28" s="1"/>
  <c r="H20" i="28"/>
  <c r="I20" i="28" s="1"/>
  <c r="J20" i="28" s="1"/>
  <c r="H28" i="28"/>
  <c r="I28" i="28" s="1"/>
  <c r="J28" i="28" s="1"/>
  <c r="H4" i="28"/>
  <c r="I4" i="28" s="1"/>
  <c r="J4" i="28" s="1"/>
  <c r="H29" i="28"/>
  <c r="I29" i="28" s="1"/>
  <c r="J29" i="28" s="1"/>
  <c r="H14" i="28"/>
  <c r="I14" i="28" s="1"/>
  <c r="J14" i="28" s="1"/>
  <c r="H6" i="28"/>
  <c r="I6" i="28" s="1"/>
  <c r="J6" i="28" s="1"/>
  <c r="H10" i="28"/>
  <c r="I10" i="28" s="1"/>
  <c r="J10" i="28" s="1"/>
  <c r="H19" i="28"/>
  <c r="I19" i="28" s="1"/>
  <c r="J19" i="28" s="1"/>
  <c r="H7" i="28"/>
  <c r="I7" i="28" s="1"/>
  <c r="J7" i="28" s="1"/>
  <c r="H12" i="28"/>
  <c r="I12" i="28" s="1"/>
  <c r="J12" i="28" s="1"/>
  <c r="H8" i="28"/>
  <c r="I8" i="28" s="1"/>
  <c r="J8" i="28" s="1"/>
  <c r="H26" i="28"/>
  <c r="I26" i="28" s="1"/>
  <c r="J26" i="28" s="1"/>
  <c r="H27" i="28"/>
  <c r="I27" i="28" s="1"/>
  <c r="J27" i="28" s="1"/>
  <c r="H13" i="28"/>
  <c r="I13" i="28" s="1"/>
  <c r="J13" i="28" s="1"/>
  <c r="H21" i="28"/>
  <c r="I21" i="28" s="1"/>
  <c r="J21" i="28" s="1"/>
  <c r="H22" i="28"/>
  <c r="I22" i="28" s="1"/>
  <c r="J22" i="28" s="1"/>
  <c r="H30" i="28"/>
  <c r="I30" i="28" s="1"/>
  <c r="J30" i="28" s="1"/>
  <c r="H15" i="28"/>
  <c r="I15" i="28" s="1"/>
  <c r="J15" i="28" s="1"/>
  <c r="H23" i="28"/>
  <c r="I23" i="28" s="1"/>
  <c r="J23" i="28" s="1"/>
  <c r="H16" i="28"/>
  <c r="I16" i="28" s="1"/>
  <c r="J16" i="28" s="1"/>
  <c r="H24" i="28"/>
  <c r="I24" i="28" s="1"/>
  <c r="J24" i="28" s="1"/>
  <c r="H9" i="28"/>
  <c r="I9" i="28" s="1"/>
  <c r="J9" i="28" s="1"/>
  <c r="H17" i="28"/>
  <c r="I17" i="28" s="1"/>
  <c r="J17" i="28" s="1"/>
  <c r="H25" i="28"/>
  <c r="I25" i="28" s="1"/>
  <c r="J25" i="28" s="1"/>
  <c r="H33" i="28"/>
  <c r="I33" i="28" s="1"/>
  <c r="J33" i="28" s="1"/>
  <c r="H3" i="28"/>
  <c r="I3" i="28" s="1"/>
  <c r="J3" i="28" s="1"/>
  <c r="I31" i="28"/>
  <c r="J31" i="28" s="1"/>
  <c r="I32" i="28" l="1"/>
  <c r="J32" i="2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CD36B6-58AF-4988-9DB3-D59BF23231AA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0507D03-40C6-46CF-96F6-F6BE61F4F757}" name="WorksheetConnection_Oppo Official Store.xlsx!Table11" type="102" refreshedVersion="6" minRefreshableVersion="5">
    <extLst>
      <ext xmlns:x15="http://schemas.microsoft.com/office/spreadsheetml/2010/11/main" uri="{DE250136-89BD-433C-8126-D09CA5730AF9}">
        <x15:connection id="Table11">
          <x15:rangePr sourceName="_xlcn.WorksheetConnection_OppoOfficialStore.xlsxTable111"/>
        </x15:connection>
      </ext>
    </extLst>
  </connection>
  <connection id="3" xr16:uid="{8801A1D5-8B60-4FE1-80C0-4C14757881A9}" name="WorksheetConnection_Oppo Official Stor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OppoOfficialStore.xlsxTable21"/>
        </x15:connection>
      </ext>
    </extLst>
  </connection>
</connections>
</file>

<file path=xl/sharedStrings.xml><?xml version="1.0" encoding="utf-8"?>
<sst xmlns="http://schemas.openxmlformats.org/spreadsheetml/2006/main" count="739" uniqueCount="210">
  <si>
    <t>Price List Oppo Reno Series</t>
  </si>
  <si>
    <t>Type</t>
  </si>
  <si>
    <t>Price</t>
  </si>
  <si>
    <t>Oppo Reno 6/256</t>
  </si>
  <si>
    <t>Oppo Reno2</t>
  </si>
  <si>
    <t>Oppo Reno2 F</t>
  </si>
  <si>
    <t>Oppo Reno Z</t>
  </si>
  <si>
    <t>Oppo Reno 10X Zoom 8/256</t>
  </si>
  <si>
    <t>Oppo Reno 10X Zoom 12/256</t>
  </si>
  <si>
    <t>Price List Oppo A Series</t>
  </si>
  <si>
    <t>Oppo A1k</t>
  </si>
  <si>
    <t>Oppo A3s</t>
  </si>
  <si>
    <t>Oppo A5(2020)</t>
  </si>
  <si>
    <t>Oppo A57</t>
  </si>
  <si>
    <t>Oppo A5s</t>
  </si>
  <si>
    <t>Oppo A7</t>
  </si>
  <si>
    <t>Oppo A71</t>
  </si>
  <si>
    <t>Oppo A83 2/16</t>
  </si>
  <si>
    <t>Oppo A83 3/32</t>
  </si>
  <si>
    <t>Oppo A9(2020)</t>
  </si>
  <si>
    <t>Price List Oppo F Series</t>
  </si>
  <si>
    <t>Oppo F11</t>
  </si>
  <si>
    <t>Oppo F11 Pro</t>
  </si>
  <si>
    <t>Oppo F3</t>
  </si>
  <si>
    <t>Oppo F3 Plus</t>
  </si>
  <si>
    <t>Oppo F5 4/32</t>
  </si>
  <si>
    <t>Oppo F5 Youth</t>
  </si>
  <si>
    <t>Oppo F7 4/64</t>
  </si>
  <si>
    <t>Oppo F5 6/64</t>
  </si>
  <si>
    <t>Oppo F7 6/128</t>
  </si>
  <si>
    <t>Oppo F7 Youth</t>
  </si>
  <si>
    <t>Oppo F9 4/64</t>
  </si>
  <si>
    <t>Oppo F9 6/64</t>
  </si>
  <si>
    <t>Price List Oppo Find Series</t>
  </si>
  <si>
    <t>Oppo Find X 8/128</t>
  </si>
  <si>
    <t>Oppo Find X 8/256</t>
  </si>
  <si>
    <t>Oppo K3</t>
  </si>
  <si>
    <t>Oppo R17</t>
  </si>
  <si>
    <t>OPPO Official Store</t>
  </si>
  <si>
    <t>Oppo Official Store</t>
  </si>
  <si>
    <t>Number Of Installment</t>
  </si>
  <si>
    <t>Interest Rate</t>
  </si>
  <si>
    <t>DP Interest Rate</t>
  </si>
  <si>
    <t>DP</t>
  </si>
  <si>
    <t>Remaining Payment</t>
  </si>
  <si>
    <t>Monthly Installment</t>
  </si>
  <si>
    <t>Total Payment</t>
  </si>
  <si>
    <t>Profit</t>
  </si>
  <si>
    <t>Row Labels</t>
  </si>
  <si>
    <t>Grand Total</t>
  </si>
  <si>
    <t>Category</t>
  </si>
  <si>
    <t>Reno Series</t>
  </si>
  <si>
    <t>F Series</t>
  </si>
  <si>
    <t>A Series</t>
  </si>
  <si>
    <t>Find X Series</t>
  </si>
  <si>
    <t>K Series</t>
  </si>
  <si>
    <t>R Series</t>
  </si>
  <si>
    <t>Published On</t>
  </si>
  <si>
    <t>Stock</t>
  </si>
  <si>
    <t>Sum of Price</t>
  </si>
  <si>
    <t>2019</t>
  </si>
  <si>
    <t>2018</t>
  </si>
  <si>
    <t>Price List Oppo</t>
  </si>
  <si>
    <t>Price List Oppo  K Series</t>
  </si>
  <si>
    <t>Price  List Oppo R Series</t>
  </si>
  <si>
    <t>Column1</t>
  </si>
  <si>
    <t>Customer Name</t>
  </si>
  <si>
    <t>Purchase</t>
  </si>
  <si>
    <t>Rifky</t>
  </si>
  <si>
    <t>Adam</t>
  </si>
  <si>
    <t>Raihan</t>
  </si>
  <si>
    <t>Dewi</t>
  </si>
  <si>
    <t>Ica</t>
  </si>
  <si>
    <t>Anca</t>
  </si>
  <si>
    <t>Hafid</t>
  </si>
  <si>
    <t>Anwar</t>
  </si>
  <si>
    <t>Boleng</t>
  </si>
  <si>
    <t>Putra</t>
  </si>
  <si>
    <t>Sofyan</t>
  </si>
  <si>
    <t>Riri</t>
  </si>
  <si>
    <t>Agus</t>
  </si>
  <si>
    <t>Permata</t>
  </si>
  <si>
    <t>Alex</t>
  </si>
  <si>
    <t>Jhon</t>
  </si>
  <si>
    <t>Oppo A5(2020</t>
  </si>
  <si>
    <t>Oppo A9(2020</t>
  </si>
  <si>
    <t>Transaction Date</t>
  </si>
  <si>
    <t>Item Name</t>
  </si>
  <si>
    <t>Quantity</t>
  </si>
  <si>
    <t>Total Price</t>
  </si>
  <si>
    <t>Oppo Series A</t>
  </si>
  <si>
    <t>Oppo Series Find</t>
  </si>
  <si>
    <t>Oppo Series F</t>
  </si>
  <si>
    <t>Oppo Series Reno</t>
  </si>
  <si>
    <t>Oppo Series R</t>
  </si>
  <si>
    <t>Oppo Series K</t>
  </si>
  <si>
    <t>Oppo Seires Reno</t>
  </si>
  <si>
    <t>Oppo  Series F</t>
  </si>
  <si>
    <t>Stock Left</t>
  </si>
  <si>
    <t>2020</t>
  </si>
  <si>
    <t>Sum of Total Price</t>
  </si>
  <si>
    <t>Sum of Quantity</t>
  </si>
  <si>
    <t>Sum of Total Payment</t>
  </si>
  <si>
    <t>Sum of Profit</t>
  </si>
  <si>
    <t>DP per Unit</t>
  </si>
  <si>
    <t>DP Total</t>
  </si>
  <si>
    <t>Schema Installment</t>
  </si>
  <si>
    <t>Left Stock</t>
  </si>
  <si>
    <t>ID Product</t>
  </si>
  <si>
    <t>ID</t>
  </si>
  <si>
    <t>P-SMRT-SA01</t>
  </si>
  <si>
    <t>P-SMRT-SA02</t>
  </si>
  <si>
    <t>P-SMRT-SA03</t>
  </si>
  <si>
    <t>P-SMRT-SA04</t>
  </si>
  <si>
    <t>P-SMRT-SA05</t>
  </si>
  <si>
    <t>P-SMRT-SA06</t>
  </si>
  <si>
    <t>P-SMRT-SA07</t>
  </si>
  <si>
    <t>P-SMRT-SA08</t>
  </si>
  <si>
    <t>P-SMRT-SA09</t>
  </si>
  <si>
    <t>P-SMRT-SA10</t>
  </si>
  <si>
    <t>P-SMRT-SFX010</t>
  </si>
  <si>
    <t>P-SMRT-SFX020</t>
  </si>
  <si>
    <t>P-SMRT-SK0111</t>
  </si>
  <si>
    <t>P-SMRT-SR0121</t>
  </si>
  <si>
    <t>P-SMRT-SF0142</t>
  </si>
  <si>
    <t>P-SMRT-SF0276</t>
  </si>
  <si>
    <t>P-SMRT-SF0301</t>
  </si>
  <si>
    <t>P-SMRT-SF0477</t>
  </si>
  <si>
    <t>P-SMRT-SF0524</t>
  </si>
  <si>
    <t>P-SMRT-SF0687</t>
  </si>
  <si>
    <t>P-SMRT-SF0712</t>
  </si>
  <si>
    <t>P-SMRT-SF0899</t>
  </si>
  <si>
    <t>P-SMRT-SF0983</t>
  </si>
  <si>
    <t>P-SMRT-SF1027</t>
  </si>
  <si>
    <t>P-SMRT-SF1112</t>
  </si>
  <si>
    <t>P-SMRT-SF1234</t>
  </si>
  <si>
    <t>P-SMRT-SRN0100</t>
  </si>
  <si>
    <t>P-SMRT-SRN0237</t>
  </si>
  <si>
    <t>P-SMRT-SRN0312</t>
  </si>
  <si>
    <t>P-SMRT-SRN0421</t>
  </si>
  <si>
    <t>P-SMRT-SRN0577</t>
  </si>
  <si>
    <t>P-SMRT-SRN0684</t>
  </si>
  <si>
    <t>Years</t>
  </si>
  <si>
    <t>Item</t>
  </si>
  <si>
    <t>Price Per Unite</t>
  </si>
  <si>
    <t>Loss</t>
  </si>
  <si>
    <t>(All)</t>
  </si>
  <si>
    <t>Net Income</t>
  </si>
  <si>
    <t>Gross Income</t>
  </si>
  <si>
    <t>Sum of Net Income</t>
  </si>
  <si>
    <t>Sum of Loss</t>
  </si>
  <si>
    <t>31/09/2020</t>
  </si>
  <si>
    <t>Total Sum of Price</t>
  </si>
  <si>
    <t>Total Sum of Quantity</t>
  </si>
  <si>
    <t>Total Sum of Total Price</t>
  </si>
  <si>
    <t>$I$3</t>
  </si>
  <si>
    <t>$I$4</t>
  </si>
  <si>
    <t>$I$5</t>
  </si>
  <si>
    <t>$I$6</t>
  </si>
  <si>
    <t>$I$7</t>
  </si>
  <si>
    <t>$I$8</t>
  </si>
  <si>
    <t>$I$9</t>
  </si>
  <si>
    <t>$I$10</t>
  </si>
  <si>
    <t>$I$11</t>
  </si>
  <si>
    <t>$I$12</t>
  </si>
  <si>
    <t>$I$13</t>
  </si>
  <si>
    <t>$I$14</t>
  </si>
  <si>
    <t>$I$15</t>
  </si>
  <si>
    <t>$I$16</t>
  </si>
  <si>
    <t>$I$17</t>
  </si>
  <si>
    <t>$I$18</t>
  </si>
  <si>
    <t>$D$3</t>
  </si>
  <si>
    <t>$D$4</t>
  </si>
  <si>
    <t>$D$5</t>
  </si>
  <si>
    <t>$D$6</t>
  </si>
  <si>
    <t>$D$7</t>
  </si>
  <si>
    <t>$D$8</t>
  </si>
  <si>
    <t>$D$9</t>
  </si>
  <si>
    <t>$D$10</t>
  </si>
  <si>
    <t>$D$11</t>
  </si>
  <si>
    <t>$D$12</t>
  </si>
  <si>
    <t>$D$13</t>
  </si>
  <si>
    <t>$D$14</t>
  </si>
  <si>
    <t>$D$15</t>
  </si>
  <si>
    <t>$D$16</t>
  </si>
  <si>
    <t>$D$17</t>
  </si>
  <si>
    <t>$D$18</t>
  </si>
  <si>
    <t>CCIT</t>
  </si>
  <si>
    <t>Created by HP on 15/01/2020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</si>
  <si>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</si>
  <si>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</si>
  <si>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</si>
  <si>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</si>
  <si>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</si>
  <si>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</si>
  <si>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</si>
  <si>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Jumlah Nilai</t>
  </si>
  <si>
    <t>Nilai Akhir</t>
  </si>
  <si>
    <t>Kelulusan</t>
  </si>
  <si>
    <t>300/&gt;</t>
  </si>
  <si>
    <t>280-299</t>
  </si>
  <si>
    <t>&lt;280</t>
  </si>
  <si>
    <t>A</t>
  </si>
  <si>
    <t>B</t>
  </si>
  <si>
    <t>C</t>
  </si>
  <si>
    <t>LULUS</t>
  </si>
  <si>
    <t>REMEDIAL</t>
  </si>
  <si>
    <t>NO</t>
  </si>
  <si>
    <t>Nama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</si>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</sst>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p&quot;#,##0.00;[Red]\-&quot;Rp&quot;#,##0.00"/>
    <numFmt numFmtId="42" formatCode="_-&quot;Rp&quot;* #,##0_-;\-&quot;Rp&quot;* #,##0_-;_-&quot;Rp&quot;* &quot;-&quot;_-;_-@_-"/>
    <numFmt numFmtId="164" formatCode="&quot;Rp&quot;#,##0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2" fontId="0" fillId="0" borderId="1" xfId="0" applyNumberFormat="1" applyBorder="1"/>
    <xf numFmtId="0" fontId="2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164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4" xfId="0" applyFont="1" applyBorder="1" applyAlignment="1">
      <alignment horizontal="center"/>
    </xf>
    <xf numFmtId="0" fontId="1" fillId="0" borderId="0" xfId="0" applyFont="1" applyAlignment="1"/>
    <xf numFmtId="0" fontId="4" fillId="2" borderId="1" xfId="0" applyFont="1" applyFill="1" applyBorder="1" applyAlignment="1">
      <alignment horizontal="center"/>
    </xf>
    <xf numFmtId="0" fontId="0" fillId="0" borderId="3" xfId="0" applyBorder="1"/>
    <xf numFmtId="0" fontId="0" fillId="0" borderId="2" xfId="0" applyBorder="1"/>
    <xf numFmtId="1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1" fontId="0" fillId="0" borderId="9" xfId="0" applyNumberFormat="1" applyBorder="1" applyAlignment="1">
      <alignment horizontal="center"/>
    </xf>
    <xf numFmtId="42" fontId="0" fillId="0" borderId="9" xfId="0" applyNumberFormat="1" applyBorder="1"/>
    <xf numFmtId="0" fontId="0" fillId="0" borderId="8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42" fontId="0" fillId="0" borderId="1" xfId="0" applyNumberFormat="1" applyBorder="1" applyAlignment="1">
      <alignment horizontal="center"/>
    </xf>
    <xf numFmtId="42" fontId="0" fillId="0" borderId="9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4" xfId="0" applyBorder="1" applyAlignment="1"/>
    <xf numFmtId="0" fontId="0" fillId="0" borderId="1" xfId="0" applyBorder="1" applyAlignment="1"/>
    <xf numFmtId="0" fontId="0" fillId="0" borderId="6" xfId="0" applyBorder="1" applyAlignment="1"/>
    <xf numFmtId="14" fontId="0" fillId="0" borderId="1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/>
    <xf numFmtId="14" fontId="0" fillId="3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9" xfId="0" applyNumberFormat="1" applyBorder="1"/>
    <xf numFmtId="42" fontId="0" fillId="0" borderId="5" xfId="0" applyNumberFormat="1" applyBorder="1" applyAlignment="1">
      <alignment horizontal="center"/>
    </xf>
    <xf numFmtId="4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42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42" fontId="0" fillId="0" borderId="5" xfId="0" applyNumberFormat="1" applyBorder="1"/>
    <xf numFmtId="42" fontId="0" fillId="0" borderId="7" xfId="0" applyNumberFormat="1" applyBorder="1"/>
    <xf numFmtId="14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Fill="1" applyBorder="1" applyAlignment="1"/>
    <xf numFmtId="42" fontId="0" fillId="0" borderId="0" xfId="0" applyNumberFormat="1" applyFill="1" applyBorder="1" applyAlignment="1"/>
    <xf numFmtId="0" fontId="0" fillId="0" borderId="12" xfId="0" applyFill="1" applyBorder="1" applyAlignment="1"/>
    <xf numFmtId="0" fontId="7" fillId="4" borderId="10" xfId="0" applyFont="1" applyFill="1" applyBorder="1" applyAlignment="1">
      <alignment horizontal="left"/>
    </xf>
    <xf numFmtId="0" fontId="7" fillId="4" borderId="11" xfId="0" applyFont="1" applyFill="1" applyBorder="1" applyAlignment="1">
      <alignment horizontal="left"/>
    </xf>
    <xf numFmtId="0" fontId="0" fillId="0" borderId="13" xfId="0" applyFill="1" applyBorder="1" applyAlignment="1"/>
    <xf numFmtId="0" fontId="8" fillId="5" borderId="0" xfId="0" applyFont="1" applyFill="1" applyBorder="1" applyAlignment="1">
      <alignment horizontal="left"/>
    </xf>
    <xf numFmtId="0" fontId="9" fillId="5" borderId="13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left"/>
    </xf>
    <xf numFmtId="0" fontId="10" fillId="4" borderId="11" xfId="0" applyFont="1" applyFill="1" applyBorder="1" applyAlignment="1">
      <alignment horizontal="right"/>
    </xf>
    <xf numFmtId="0" fontId="10" fillId="4" borderId="10" xfId="0" applyFont="1" applyFill="1" applyBorder="1" applyAlignment="1">
      <alignment horizontal="right"/>
    </xf>
    <xf numFmtId="42" fontId="0" fillId="6" borderId="0" xfId="0" applyNumberFormat="1" applyFill="1" applyBorder="1" applyAlignment="1"/>
    <xf numFmtId="0" fontId="11" fillId="0" borderId="0" xfId="0" applyFont="1" applyFill="1" applyBorder="1" applyAlignment="1">
      <alignment vertical="top" wrapText="1"/>
    </xf>
    <xf numFmtId="164" fontId="0" fillId="0" borderId="1" xfId="0" applyNumberFormat="1" applyBorder="1"/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2"/>
    </xf>
    <xf numFmtId="0" fontId="0" fillId="0" borderId="0" xfId="0" applyAlignment="1">
      <alignment horizontal="left" indent="3"/>
    </xf>
    <xf numFmtId="0" fontId="0" fillId="2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" xfId="0" applyFont="1" applyBorder="1"/>
    <xf numFmtId="0" fontId="0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21"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2" formatCode="_-&quot;Rp&quot;* #,##0_-;\-&quot;Rp&quot;* #,##0_-;_-&quot;Rp&quot;* &quot;-&quot;_-;_-@_-"/>
    </dxf>
    <dxf>
      <numFmt numFmtId="164" formatCode="&quot;Rp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p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p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p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p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p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2" formatCode="_-&quot;Rp&quot;* #,##0_-;\-&quot;Rp&quot;* #,##0_-;_-&quot;Rp&quot;* &quot;-&quot;_-;_-@_-"/>
    </dxf>
    <dxf>
      <alignment horizontal="center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p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Rp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p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p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p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2" formatCode="_-&quot;Rp&quot;* #,##0_-;\-&quot;Rp&quot;* #,##0_-;_-&quot;Rp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numFmt numFmtId="32" formatCode="_-&quot;Rp&quot;* #,##0_-;\-&quot;Rp&quot;* #,##0_-;_-&quot;Rp&quot;* &quot;-&quot;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p&quot;#,##0"/>
    </dxf>
    <dxf>
      <alignment horizontal="left"/>
    </dxf>
    <dxf>
      <numFmt numFmtId="0" formatCode="General"/>
      <alignment horizontal="center" vertical="bottom" textRotation="0" wrapText="0" indent="0" justifyLastLine="0" shrinkToFit="0" readingOrder="0"/>
    </dxf>
    <dxf>
      <numFmt numFmtId="32" formatCode="_-&quot;Rp&quot;* #,##0_-;\-&quot;Rp&quot;* #,##0_-;_-&quot;Rp&quot;* &quot;-&quot;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2" formatCode="_-&quot;Rp&quot;* #,##0_-;\-&quot;Rp&quot;* #,##0_-;_-&quot;Rp&quot;* &quot;-&quot;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2" formatCode="_-&quot;Rp&quot;* #,##0_-;\-&quot;Rp&quot;* #,##0_-;_-&quot;Rp&quot;* &quot;-&quot;_-;_-@_-"/>
    </dxf>
    <dxf>
      <numFmt numFmtId="0" formatCode="General"/>
    </dxf>
    <dxf>
      <numFmt numFmtId="164" formatCode="&quot;Rp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9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calcChain" Target="calcChain.xml"/><Relationship Id="rId41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Customer With The Most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660108326153889E-2"/>
          <c:y val="0.14502448257771494"/>
          <c:w val="0.94068001041854499"/>
          <c:h val="0.674825370748492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Purchase!$B$2</c:f>
              <c:strCache>
                <c:ptCount val="1"/>
                <c:pt idx="0">
                  <c:v>Purchase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Purchase!$A$3:$A$18</c:f>
              <c:strCache>
                <c:ptCount val="16"/>
                <c:pt idx="0">
                  <c:v>Rifky</c:v>
                </c:pt>
                <c:pt idx="1">
                  <c:v>Adam</c:v>
                </c:pt>
                <c:pt idx="2">
                  <c:v>Raihan</c:v>
                </c:pt>
                <c:pt idx="3">
                  <c:v>Dewi</c:v>
                </c:pt>
                <c:pt idx="4">
                  <c:v>Ica</c:v>
                </c:pt>
                <c:pt idx="5">
                  <c:v>Anca</c:v>
                </c:pt>
                <c:pt idx="6">
                  <c:v>Hafid</c:v>
                </c:pt>
                <c:pt idx="7">
                  <c:v>Anwar</c:v>
                </c:pt>
                <c:pt idx="8">
                  <c:v>Boleng</c:v>
                </c:pt>
                <c:pt idx="9">
                  <c:v>Putra</c:v>
                </c:pt>
                <c:pt idx="10">
                  <c:v>Sofyan</c:v>
                </c:pt>
                <c:pt idx="11">
                  <c:v>Riri</c:v>
                </c:pt>
                <c:pt idx="12">
                  <c:v>Agus</c:v>
                </c:pt>
                <c:pt idx="13">
                  <c:v>Permata</c:v>
                </c:pt>
                <c:pt idx="14">
                  <c:v>Alex</c:v>
                </c:pt>
                <c:pt idx="15">
                  <c:v>Jhon</c:v>
                </c:pt>
              </c:strCache>
            </c:strRef>
          </c:cat>
          <c:val>
            <c:numRef>
              <c:f>Purchase!$B$3:$B$18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8</c:v>
                </c:pt>
                <c:pt idx="14">
                  <c:v>9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7F4-874E-F63995C17499}"/>
            </c:ext>
          </c:extLst>
        </c:ser>
        <c:ser>
          <c:idx val="1"/>
          <c:order val="1"/>
          <c:tx>
            <c:strRef>
              <c:f>Purchase!$C$2</c:f>
              <c:strCache>
                <c:ptCount val="1"/>
                <c:pt idx="0">
                  <c:v>Type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Purchase!$A$3:$A$18</c:f>
              <c:strCache>
                <c:ptCount val="16"/>
                <c:pt idx="0">
                  <c:v>Rifky</c:v>
                </c:pt>
                <c:pt idx="1">
                  <c:v>Adam</c:v>
                </c:pt>
                <c:pt idx="2">
                  <c:v>Raihan</c:v>
                </c:pt>
                <c:pt idx="3">
                  <c:v>Dewi</c:v>
                </c:pt>
                <c:pt idx="4">
                  <c:v>Ica</c:v>
                </c:pt>
                <c:pt idx="5">
                  <c:v>Anca</c:v>
                </c:pt>
                <c:pt idx="6">
                  <c:v>Hafid</c:v>
                </c:pt>
                <c:pt idx="7">
                  <c:v>Anwar</c:v>
                </c:pt>
                <c:pt idx="8">
                  <c:v>Boleng</c:v>
                </c:pt>
                <c:pt idx="9">
                  <c:v>Putra</c:v>
                </c:pt>
                <c:pt idx="10">
                  <c:v>Sofyan</c:v>
                </c:pt>
                <c:pt idx="11">
                  <c:v>Riri</c:v>
                </c:pt>
                <c:pt idx="12">
                  <c:v>Agus</c:v>
                </c:pt>
                <c:pt idx="13">
                  <c:v>Permata</c:v>
                </c:pt>
                <c:pt idx="14">
                  <c:v>Alex</c:v>
                </c:pt>
                <c:pt idx="15">
                  <c:v>Jhon</c:v>
                </c:pt>
              </c:strCache>
            </c:strRef>
          </c:cat>
          <c:val>
            <c:numRef>
              <c:f>Purchase!$C$3:$C$18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7F4-874E-F63995C1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929504"/>
        <c:axId val="749314288"/>
      </c:barChart>
      <c:catAx>
        <c:axId val="6949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14288"/>
        <c:crosses val="autoZero"/>
        <c:auto val="1"/>
        <c:lblAlgn val="ctr"/>
        <c:lblOffset val="100"/>
        <c:noMultiLvlLbl val="0"/>
      </c:catAx>
      <c:valAx>
        <c:axId val="7493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[Oppo Official Store.xlsx]Pivot Profit Transaction!PivotTable1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Profit Transaction'!$B$3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Profit Transaction'!$A$4:$A$7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'Pivot Profit Transaction'!$B$4:$B$7</c:f>
              <c:numCache>
                <c:formatCode>General</c:formatCode>
                <c:ptCount val="3"/>
                <c:pt idx="0">
                  <c:v>3</c:v>
                </c:pt>
                <c:pt idx="1">
                  <c:v>63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6-42F1-8575-E292AC5EA3A1}"/>
            </c:ext>
          </c:extLst>
        </c:ser>
        <c:ser>
          <c:idx val="1"/>
          <c:order val="1"/>
          <c:tx>
            <c:strRef>
              <c:f>'Pivot Profit Transaction'!$C$3</c:f>
              <c:strCache>
                <c:ptCount val="1"/>
                <c:pt idx="0">
                  <c:v>Sum of Total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Profit Transaction'!$A$4:$A$7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'Pivot Profit Transaction'!$C$4:$C$7</c:f>
              <c:numCache>
                <c:formatCode>_("Rp"* #,##0_);_("Rp"* \(#,##0\);_("Rp"* "-"_);_(@_)</c:formatCode>
                <c:ptCount val="3"/>
                <c:pt idx="0">
                  <c:v>11197000</c:v>
                </c:pt>
                <c:pt idx="1">
                  <c:v>290550400</c:v>
                </c:pt>
                <c:pt idx="2">
                  <c:v>50386000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6-42F1-8575-E292AC5E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663935"/>
        <c:axId val="1430658863"/>
      </c:barChart>
      <c:catAx>
        <c:axId val="185866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58863"/>
        <c:crosses val="autoZero"/>
        <c:auto val="1"/>
        <c:lblAlgn val="ctr"/>
        <c:lblOffset val="100"/>
        <c:noMultiLvlLbl val="0"/>
      </c:catAx>
      <c:valAx>
        <c:axId val="14306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6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[Oppo Official Store.xlsx]Pivot Schema Installment 12!PivotTable1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Schema Installment 12'!$B$3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Schema Installment 12'!$A$4:$A$36</c:f>
              <c:strCache>
                <c:ptCount val="32"/>
                <c:pt idx="0">
                  <c:v>Oppo A1k</c:v>
                </c:pt>
                <c:pt idx="1">
                  <c:v>Oppo A3s</c:v>
                </c:pt>
                <c:pt idx="2">
                  <c:v>Oppo A5(2020)</c:v>
                </c:pt>
                <c:pt idx="3">
                  <c:v>Oppo A57</c:v>
                </c:pt>
                <c:pt idx="4">
                  <c:v>Oppo A5s</c:v>
                </c:pt>
                <c:pt idx="5">
                  <c:v>Oppo A7</c:v>
                </c:pt>
                <c:pt idx="6">
                  <c:v>Oppo A71</c:v>
                </c:pt>
                <c:pt idx="7">
                  <c:v>Oppo A83 2/16</c:v>
                </c:pt>
                <c:pt idx="8">
                  <c:v>Oppo A83 3/32</c:v>
                </c:pt>
                <c:pt idx="9">
                  <c:v>Oppo A9(2020)</c:v>
                </c:pt>
                <c:pt idx="10">
                  <c:v>Oppo F11</c:v>
                </c:pt>
                <c:pt idx="11">
                  <c:v>Oppo F11 Pro</c:v>
                </c:pt>
                <c:pt idx="12">
                  <c:v>Oppo F3</c:v>
                </c:pt>
                <c:pt idx="13">
                  <c:v>Oppo F3 Plus</c:v>
                </c:pt>
                <c:pt idx="14">
                  <c:v>Oppo F5 4/32</c:v>
                </c:pt>
                <c:pt idx="15">
                  <c:v>Oppo F5 6/64</c:v>
                </c:pt>
                <c:pt idx="16">
                  <c:v>Oppo F5 Youth</c:v>
                </c:pt>
                <c:pt idx="17">
                  <c:v>Oppo F7 4/64</c:v>
                </c:pt>
                <c:pt idx="18">
                  <c:v>Oppo F7 6/128</c:v>
                </c:pt>
                <c:pt idx="19">
                  <c:v>Oppo F7 Youth</c:v>
                </c:pt>
                <c:pt idx="20">
                  <c:v>Oppo F9 4/64</c:v>
                </c:pt>
                <c:pt idx="21">
                  <c:v>Oppo F9 6/64</c:v>
                </c:pt>
                <c:pt idx="22">
                  <c:v>Oppo Find X 8/128</c:v>
                </c:pt>
                <c:pt idx="23">
                  <c:v>Oppo Find X 8/256</c:v>
                </c:pt>
                <c:pt idx="24">
                  <c:v>Oppo K3</c:v>
                </c:pt>
                <c:pt idx="25">
                  <c:v>Oppo R17</c:v>
                </c:pt>
                <c:pt idx="26">
                  <c:v>Oppo Reno 10X Zoom 12/256</c:v>
                </c:pt>
                <c:pt idx="27">
                  <c:v>Oppo Reno 10X Zoom 8/256</c:v>
                </c:pt>
                <c:pt idx="28">
                  <c:v>Oppo Reno 6/256</c:v>
                </c:pt>
                <c:pt idx="29">
                  <c:v>Oppo Reno Z</c:v>
                </c:pt>
                <c:pt idx="30">
                  <c:v>Oppo Reno2</c:v>
                </c:pt>
                <c:pt idx="31">
                  <c:v>Oppo Reno2 F</c:v>
                </c:pt>
              </c:strCache>
            </c:strRef>
          </c:cat>
          <c:val>
            <c:numRef>
              <c:f>'Pivot Schema Installment 12'!$B$4:$B$36</c:f>
              <c:numCache>
                <c:formatCode>_("Rp"* #,##0_);_("Rp"* \(#,##0\);_("Rp"* "-"_);_(@_)</c:formatCode>
                <c:ptCount val="32"/>
                <c:pt idx="0">
                  <c:v>170600.53183543216</c:v>
                </c:pt>
                <c:pt idx="1">
                  <c:v>164305.70295595098</c:v>
                </c:pt>
                <c:pt idx="2">
                  <c:v>229377.16284740157</c:v>
                </c:pt>
                <c:pt idx="3">
                  <c:v>197380.22757695382</c:v>
                </c:pt>
                <c:pt idx="4">
                  <c:v>181269.73332607816</c:v>
                </c:pt>
                <c:pt idx="5">
                  <c:v>240057.03353953874</c:v>
                </c:pt>
                <c:pt idx="6">
                  <c:v>170600.53183543216</c:v>
                </c:pt>
                <c:pt idx="7">
                  <c:v>191938.93481672439</c:v>
                </c:pt>
                <c:pt idx="8">
                  <c:v>223946.53928866331</c:v>
                </c:pt>
                <c:pt idx="9">
                  <c:v>394653.76313900109</c:v>
                </c:pt>
                <c:pt idx="10">
                  <c:v>351976.95717641711</c:v>
                </c:pt>
                <c:pt idx="11">
                  <c:v>394653.76313900109</c:v>
                </c:pt>
                <c:pt idx="12">
                  <c:v>181376.42534098495</c:v>
                </c:pt>
                <c:pt idx="13">
                  <c:v>186711.0260863076</c:v>
                </c:pt>
                <c:pt idx="14">
                  <c:v>144034.22012372315</c:v>
                </c:pt>
                <c:pt idx="15">
                  <c:v>213277.33779801708</c:v>
                </c:pt>
                <c:pt idx="16">
                  <c:v>181269.73332607816</c:v>
                </c:pt>
                <c:pt idx="17">
                  <c:v>250726.2350301845</c:v>
                </c:pt>
                <c:pt idx="18">
                  <c:v>351976.95717641711</c:v>
                </c:pt>
                <c:pt idx="19">
                  <c:v>239950.34152463265</c:v>
                </c:pt>
                <c:pt idx="20">
                  <c:v>287961.74823254021</c:v>
                </c:pt>
                <c:pt idx="21">
                  <c:v>351976.95717641711</c:v>
                </c:pt>
                <c:pt idx="22">
                  <c:v>1066813.4570497088</c:v>
                </c:pt>
                <c:pt idx="23">
                  <c:v>1098821.0615216475</c:v>
                </c:pt>
                <c:pt idx="24">
                  <c:v>426661.36761093978</c:v>
                </c:pt>
                <c:pt idx="25">
                  <c:v>640045.39742386341</c:v>
                </c:pt>
                <c:pt idx="26">
                  <c:v>1066813.4570497088</c:v>
                </c:pt>
                <c:pt idx="27">
                  <c:v>960121.44214324839</c:v>
                </c:pt>
                <c:pt idx="28">
                  <c:v>853429.42723678797</c:v>
                </c:pt>
                <c:pt idx="29">
                  <c:v>672053.00189580116</c:v>
                </c:pt>
                <c:pt idx="30">
                  <c:v>853429.42723678797</c:v>
                </c:pt>
                <c:pt idx="31">
                  <c:v>533353.38251740113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D-4902-B4D0-160E30F05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312816"/>
        <c:axId val="450952240"/>
      </c:barChart>
      <c:catAx>
        <c:axId val="4573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52240"/>
        <c:crosses val="autoZero"/>
        <c:auto val="1"/>
        <c:lblAlgn val="ctr"/>
        <c:lblOffset val="100"/>
        <c:noMultiLvlLbl val="0"/>
      </c:catAx>
      <c:valAx>
        <c:axId val="4509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[Oppo Official Store.xlsx]Pivot Schema Installment 9!PivotTable1</c:name>
    <c:fmtId val="0"/>
  </c:pivotSource>
  <c:chart>
    <c:autoTitleDeleted val="0"/>
    <c:pivotFmts>
      <c:pivotFmt>
        <c:idx val="0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Schema Installment 9'!$A$3</c:f>
              <c:strCache>
                <c:ptCount val="1"/>
                <c:pt idx="0">
                  <c:v>Sum of Total Payment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Schema Installment 9'!$A$4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Schema Installment 9'!$A$4</c:f>
              <c:numCache>
                <c:formatCode>_("Rp"* #,##0_);_("Rp"* \(#,##0\);_("Rp"* "-"_);_(@_)</c:formatCode>
                <c:ptCount val="1"/>
                <c:pt idx="0">
                  <c:v>137553218.01003072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9-4B90-9800-571706DEE95E}"/>
            </c:ext>
          </c:extLst>
        </c:ser>
        <c:ser>
          <c:idx val="1"/>
          <c:order val="1"/>
          <c:tx>
            <c:strRef>
              <c:f>'Pivot Schema Installment 9'!$B$3</c:f>
              <c:strCache>
                <c:ptCount val="1"/>
                <c:pt idx="0">
                  <c:v>Sum of Profit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Schema Installment 9'!$A$4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Schema Installment 9'!$B$4</c:f>
              <c:numCache>
                <c:formatCode>_("Rp"* #,##0_);_("Rp"* \(#,##0\);_("Rp"* "-"_);_(@_)</c:formatCode>
                <c:ptCount val="1"/>
                <c:pt idx="0">
                  <c:v>11287318.010030739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9-4B90-9800-571706DEE9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136279856"/>
        <c:axId val="183554144"/>
        <c:axId val="2124780160"/>
      </c:bar3DChart>
      <c:catAx>
        <c:axId val="13627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4144"/>
        <c:crosses val="autoZero"/>
        <c:auto val="1"/>
        <c:lblAlgn val="ctr"/>
        <c:lblOffset val="100"/>
        <c:noMultiLvlLbl val="0"/>
      </c:catAx>
      <c:valAx>
        <c:axId val="1835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9856"/>
        <c:crosses val="autoZero"/>
        <c:crossBetween val="between"/>
      </c:valAx>
      <c:serAx>
        <c:axId val="212478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414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[Oppo Official Store.xlsx]Pivot Schema Installment!PivotTable2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Schema Installment'!$B$3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Schema Installment'!$A$4:$A$7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'Pivot Schema Installment'!$B$4:$B$7</c:f>
              <c:numCache>
                <c:formatCode>_("Rp"* #,##0_);_("Rp"* \(#,##0\);_("Rp"* "-"_);_(@_)</c:formatCode>
                <c:ptCount val="3"/>
                <c:pt idx="0">
                  <c:v>1194630.4909076523</c:v>
                </c:pt>
                <c:pt idx="1">
                  <c:v>30999407.60787838</c:v>
                </c:pt>
                <c:pt idx="2">
                  <c:v>5375783.8630769737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5-4AE0-B4A5-A6CB4A65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448551568"/>
        <c:axId val="450971376"/>
        <c:axId val="0"/>
      </c:bar3DChart>
      <c:catAx>
        <c:axId val="44855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71376"/>
        <c:crosses val="autoZero"/>
        <c:auto val="1"/>
        <c:lblAlgn val="ctr"/>
        <c:lblOffset val="100"/>
        <c:noMultiLvlLbl val="0"/>
      </c:catAx>
      <c:valAx>
        <c:axId val="450971376"/>
        <c:scaling>
          <c:orientation val="minMax"/>
        </c:scaling>
        <c:delete val="0"/>
        <c:axPos val="l"/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[Oppo Official Store.xlsx]Pivot-Charrt Store 2019-2021!PivotTable7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614120119536796E-2"/>
          <c:y val="6.8268336254496714E-2"/>
          <c:w val="0.78802844317030507"/>
          <c:h val="0.9139882616653718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'Pivot-Charrt Store 2019-2021'!$B$3</c:f>
              <c:strCache>
                <c:ptCount val="1"/>
                <c:pt idx="0">
                  <c:v>Sum of Net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'Pivot-Charrt Store 2019-2021'!$A$4:$A$36</c:f>
              <c:strCache>
                <c:ptCount val="32"/>
                <c:pt idx="0">
                  <c:v>31/09/2020</c:v>
                </c:pt>
                <c:pt idx="1">
                  <c:v>11/01/2019</c:v>
                </c:pt>
                <c:pt idx="2">
                  <c:v>12/02/2019</c:v>
                </c:pt>
                <c:pt idx="3">
                  <c:v>13/03/2019</c:v>
                </c:pt>
                <c:pt idx="4">
                  <c:v>14/04/2019</c:v>
                </c:pt>
                <c:pt idx="5">
                  <c:v>15/05/2019</c:v>
                </c:pt>
                <c:pt idx="6">
                  <c:v>16/06/2019</c:v>
                </c:pt>
                <c:pt idx="7">
                  <c:v>17/07/2019</c:v>
                </c:pt>
                <c:pt idx="8">
                  <c:v>18/08/2019</c:v>
                </c:pt>
                <c:pt idx="9">
                  <c:v>19/09/2019</c:v>
                </c:pt>
                <c:pt idx="10">
                  <c:v>20/10/2019</c:v>
                </c:pt>
                <c:pt idx="11">
                  <c:v>21/11/2019</c:v>
                </c:pt>
                <c:pt idx="12">
                  <c:v>22/12/2019</c:v>
                </c:pt>
                <c:pt idx="13">
                  <c:v>23/01/2020</c:v>
                </c:pt>
                <c:pt idx="14">
                  <c:v>24/02/2020</c:v>
                </c:pt>
                <c:pt idx="15">
                  <c:v>25/03/2020</c:v>
                </c:pt>
                <c:pt idx="16">
                  <c:v>26/04/2020</c:v>
                </c:pt>
                <c:pt idx="17">
                  <c:v>27/05/2020</c:v>
                </c:pt>
                <c:pt idx="18">
                  <c:v>28/06/2020</c:v>
                </c:pt>
                <c:pt idx="19">
                  <c:v>29/07/2020</c:v>
                </c:pt>
                <c:pt idx="20">
                  <c:v>30/08/2020</c:v>
                </c:pt>
                <c:pt idx="21">
                  <c:v>01/10/2020</c:v>
                </c:pt>
                <c:pt idx="22">
                  <c:v>02/11/2020</c:v>
                </c:pt>
                <c:pt idx="23">
                  <c:v>03/12/2020</c:v>
                </c:pt>
                <c:pt idx="24">
                  <c:v>04/01/2021</c:v>
                </c:pt>
                <c:pt idx="25">
                  <c:v>05/02/2021</c:v>
                </c:pt>
                <c:pt idx="26">
                  <c:v>06/03/2021</c:v>
                </c:pt>
                <c:pt idx="27">
                  <c:v>07/04/2021</c:v>
                </c:pt>
                <c:pt idx="28">
                  <c:v>08/05/2021</c:v>
                </c:pt>
                <c:pt idx="29">
                  <c:v>09/06/2021</c:v>
                </c:pt>
                <c:pt idx="30">
                  <c:v>10/07/2021</c:v>
                </c:pt>
                <c:pt idx="31">
                  <c:v>11/08/2021</c:v>
                </c:pt>
              </c:strCache>
            </c:strRef>
          </c:cat>
          <c:val>
            <c:numRef>
              <c:f>'Pivot-Charrt Store 2019-2021'!$B$4:$B$36</c:f>
              <c:numCache>
                <c:formatCode>_("Rp"* #,##0_);_("Rp"* \(#,##0\);_("Rp"* "-"_);_(@_)</c:formatCode>
                <c:ptCount val="32"/>
                <c:pt idx="0">
                  <c:v>29700000</c:v>
                </c:pt>
                <c:pt idx="1">
                  <c:v>1423822000</c:v>
                </c:pt>
                <c:pt idx="2">
                  <c:v>-543932000</c:v>
                </c:pt>
                <c:pt idx="3">
                  <c:v>239952000</c:v>
                </c:pt>
                <c:pt idx="4">
                  <c:v>302352000</c:v>
                </c:pt>
                <c:pt idx="5">
                  <c:v>269970000</c:v>
                </c:pt>
                <c:pt idx="6">
                  <c:v>-1639836000</c:v>
                </c:pt>
                <c:pt idx="7">
                  <c:v>-19188000</c:v>
                </c:pt>
                <c:pt idx="8">
                  <c:v>-101640000</c:v>
                </c:pt>
                <c:pt idx="9">
                  <c:v>326784800</c:v>
                </c:pt>
                <c:pt idx="10">
                  <c:v>181300000</c:v>
                </c:pt>
                <c:pt idx="11">
                  <c:v>197084000</c:v>
                </c:pt>
                <c:pt idx="12">
                  <c:v>112500000</c:v>
                </c:pt>
                <c:pt idx="13">
                  <c:v>182286000</c:v>
                </c:pt>
                <c:pt idx="14">
                  <c:v>-118734000</c:v>
                </c:pt>
                <c:pt idx="15">
                  <c:v>-104950000</c:v>
                </c:pt>
                <c:pt idx="16">
                  <c:v>532656000</c:v>
                </c:pt>
                <c:pt idx="17">
                  <c:v>-79176000</c:v>
                </c:pt>
                <c:pt idx="18">
                  <c:v>-59184000</c:v>
                </c:pt>
                <c:pt idx="19">
                  <c:v>166600000</c:v>
                </c:pt>
                <c:pt idx="20">
                  <c:v>154000000</c:v>
                </c:pt>
                <c:pt idx="21">
                  <c:v>195902000</c:v>
                </c:pt>
                <c:pt idx="22">
                  <c:v>135920000</c:v>
                </c:pt>
                <c:pt idx="23">
                  <c:v>-14100000</c:v>
                </c:pt>
                <c:pt idx="24">
                  <c:v>316704000</c:v>
                </c:pt>
                <c:pt idx="25">
                  <c:v>301366000</c:v>
                </c:pt>
                <c:pt idx="26">
                  <c:v>70174000</c:v>
                </c:pt>
                <c:pt idx="27">
                  <c:v>-158352000</c:v>
                </c:pt>
                <c:pt idx="28">
                  <c:v>-1019898000</c:v>
                </c:pt>
                <c:pt idx="29">
                  <c:v>-926910000</c:v>
                </c:pt>
                <c:pt idx="30">
                  <c:v>679830000</c:v>
                </c:pt>
                <c:pt idx="31">
                  <c:v>131978000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B-49D6-915E-C2B3C04EBC23}"/>
            </c:ext>
          </c:extLst>
        </c:ser>
        <c:ser>
          <c:idx val="1"/>
          <c:order val="1"/>
          <c:tx>
            <c:strRef>
              <c:f>'Pivot-Charrt Store 2019-2021'!$C$3</c:f>
              <c:strCache>
                <c:ptCount val="1"/>
                <c:pt idx="0">
                  <c:v>Sum of Loss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'Pivot-Charrt Store 2019-2021'!$A$4:$A$36</c:f>
              <c:strCache>
                <c:ptCount val="32"/>
                <c:pt idx="0">
                  <c:v>31/09/2020</c:v>
                </c:pt>
                <c:pt idx="1">
                  <c:v>11/01/2019</c:v>
                </c:pt>
                <c:pt idx="2">
                  <c:v>12/02/2019</c:v>
                </c:pt>
                <c:pt idx="3">
                  <c:v>13/03/2019</c:v>
                </c:pt>
                <c:pt idx="4">
                  <c:v>14/04/2019</c:v>
                </c:pt>
                <c:pt idx="5">
                  <c:v>15/05/2019</c:v>
                </c:pt>
                <c:pt idx="6">
                  <c:v>16/06/2019</c:v>
                </c:pt>
                <c:pt idx="7">
                  <c:v>17/07/2019</c:v>
                </c:pt>
                <c:pt idx="8">
                  <c:v>18/08/2019</c:v>
                </c:pt>
                <c:pt idx="9">
                  <c:v>19/09/2019</c:v>
                </c:pt>
                <c:pt idx="10">
                  <c:v>20/10/2019</c:v>
                </c:pt>
                <c:pt idx="11">
                  <c:v>21/11/2019</c:v>
                </c:pt>
                <c:pt idx="12">
                  <c:v>22/12/2019</c:v>
                </c:pt>
                <c:pt idx="13">
                  <c:v>23/01/2020</c:v>
                </c:pt>
                <c:pt idx="14">
                  <c:v>24/02/2020</c:v>
                </c:pt>
                <c:pt idx="15">
                  <c:v>25/03/2020</c:v>
                </c:pt>
                <c:pt idx="16">
                  <c:v>26/04/2020</c:v>
                </c:pt>
                <c:pt idx="17">
                  <c:v>27/05/2020</c:v>
                </c:pt>
                <c:pt idx="18">
                  <c:v>28/06/2020</c:v>
                </c:pt>
                <c:pt idx="19">
                  <c:v>29/07/2020</c:v>
                </c:pt>
                <c:pt idx="20">
                  <c:v>30/08/2020</c:v>
                </c:pt>
                <c:pt idx="21">
                  <c:v>01/10/2020</c:v>
                </c:pt>
                <c:pt idx="22">
                  <c:v>02/11/2020</c:v>
                </c:pt>
                <c:pt idx="23">
                  <c:v>03/12/2020</c:v>
                </c:pt>
                <c:pt idx="24">
                  <c:v>04/01/2021</c:v>
                </c:pt>
                <c:pt idx="25">
                  <c:v>05/02/2021</c:v>
                </c:pt>
                <c:pt idx="26">
                  <c:v>06/03/2021</c:v>
                </c:pt>
                <c:pt idx="27">
                  <c:v>07/04/2021</c:v>
                </c:pt>
                <c:pt idx="28">
                  <c:v>08/05/2021</c:v>
                </c:pt>
                <c:pt idx="29">
                  <c:v>09/06/2021</c:v>
                </c:pt>
                <c:pt idx="30">
                  <c:v>10/07/2021</c:v>
                </c:pt>
                <c:pt idx="31">
                  <c:v>11/08/2021</c:v>
                </c:pt>
              </c:strCache>
            </c:strRef>
          </c:cat>
          <c:val>
            <c:numRef>
              <c:f>'Pivot-Charrt Store 2019-2021'!$C$4:$C$36</c:f>
              <c:numCache>
                <c:formatCode>_("Rp"* #,##0_);_("Rp"* \(#,##0\);_("Rp"* "-"_);_(@_)</c:formatCode>
                <c:ptCount val="32"/>
                <c:pt idx="0">
                  <c:v>120150000</c:v>
                </c:pt>
                <c:pt idx="1">
                  <c:v>87989000</c:v>
                </c:pt>
                <c:pt idx="2">
                  <c:v>1071866000</c:v>
                </c:pt>
                <c:pt idx="3">
                  <c:v>379924000</c:v>
                </c:pt>
                <c:pt idx="4">
                  <c:v>478724000</c:v>
                </c:pt>
                <c:pt idx="5">
                  <c:v>764915000</c:v>
                </c:pt>
                <c:pt idx="6">
                  <c:v>1819818000</c:v>
                </c:pt>
                <c:pt idx="7">
                  <c:v>169494000</c:v>
                </c:pt>
                <c:pt idx="8">
                  <c:v>204820000</c:v>
                </c:pt>
                <c:pt idx="9">
                  <c:v>51597600</c:v>
                </c:pt>
                <c:pt idx="10">
                  <c:v>94350000</c:v>
                </c:pt>
                <c:pt idx="11">
                  <c:v>71358000</c:v>
                </c:pt>
                <c:pt idx="12">
                  <c:v>168750000</c:v>
                </c:pt>
                <c:pt idx="13">
                  <c:v>68757000</c:v>
                </c:pt>
                <c:pt idx="14">
                  <c:v>239267000</c:v>
                </c:pt>
                <c:pt idx="15">
                  <c:v>262375000</c:v>
                </c:pt>
                <c:pt idx="16">
                  <c:v>103572000</c:v>
                </c:pt>
                <c:pt idx="17">
                  <c:v>369488000</c:v>
                </c:pt>
                <c:pt idx="18">
                  <c:v>399492000</c:v>
                </c:pt>
                <c:pt idx="19">
                  <c:v>86700000</c:v>
                </c:pt>
                <c:pt idx="20">
                  <c:v>98000000</c:v>
                </c:pt>
                <c:pt idx="21">
                  <c:v>101949000</c:v>
                </c:pt>
                <c:pt idx="22">
                  <c:v>101940000</c:v>
                </c:pt>
                <c:pt idx="23">
                  <c:v>242050000</c:v>
                </c:pt>
                <c:pt idx="24">
                  <c:v>171548000</c:v>
                </c:pt>
                <c:pt idx="25">
                  <c:v>74217000</c:v>
                </c:pt>
                <c:pt idx="26">
                  <c:v>234813000</c:v>
                </c:pt>
                <c:pt idx="27">
                  <c:v>409076000</c:v>
                </c:pt>
                <c:pt idx="28">
                  <c:v>1509849000</c:v>
                </c:pt>
                <c:pt idx="29">
                  <c:v>1493355000</c:v>
                </c:pt>
                <c:pt idx="30">
                  <c:v>59985000</c:v>
                </c:pt>
                <c:pt idx="31">
                  <c:v>533911000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B-49D6-915E-C2B3C04EB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0979599"/>
        <c:axId val="228436783"/>
        <c:axId val="0"/>
      </c:bar3DChart>
      <c:catAx>
        <c:axId val="23097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36783"/>
        <c:crosses val="autoZero"/>
        <c:auto val="1"/>
        <c:lblAlgn val="ctr"/>
        <c:lblOffset val="100"/>
        <c:noMultiLvlLbl val="0"/>
      </c:catAx>
      <c:valAx>
        <c:axId val="2284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7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9526</xdr:rowOff>
    </xdr:from>
    <xdr:to>
      <xdr:col>15</xdr:col>
      <xdr:colOff>552450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F78F3-4715-4006-A013-3D5A835B0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2</xdr:row>
      <xdr:rowOff>0</xdr:rowOff>
    </xdr:from>
    <xdr:to>
      <xdr:col>11</xdr:col>
      <xdr:colOff>228599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7EB07-5BC2-48E5-BE3A-231B32483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180975</xdr:rowOff>
    </xdr:from>
    <xdr:to>
      <xdr:col>14</xdr:col>
      <xdr:colOff>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6EDDC-4C0A-42FE-861D-113B6C6F8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1</xdr:row>
      <xdr:rowOff>9525</xdr:rowOff>
    </xdr:from>
    <xdr:to>
      <xdr:col>12</xdr:col>
      <xdr:colOff>600074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B07E5-4E3F-41C9-B54D-8A5C5329C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19050</xdr:rowOff>
    </xdr:from>
    <xdr:to>
      <xdr:col>14</xdr:col>
      <xdr:colOff>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3681B-843F-4677-A099-0D965A317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85725</xdr:rowOff>
    </xdr:from>
    <xdr:to>
      <xdr:col>13</xdr:col>
      <xdr:colOff>361950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42DED-8811-437B-B208-A4326DE98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837.740099421295" createdVersion="6" refreshedVersion="6" minRefreshableVersion="3" recordCount="16" xr:uid="{893DD8BE-9172-4191-B7C0-4DFA5BEF445F}">
  <cacheSource type="worksheet">
    <worksheetSource name="Table2"/>
  </cacheSource>
  <cacheFields count="11">
    <cacheField name="Customer Name" numFmtId="0">
      <sharedItems/>
    </cacheField>
    <cacheField name="Transaction Date" numFmtId="14">
      <sharedItems containsSemiMixedTypes="0" containsNonDate="0" containsDate="1" containsString="0" minDate="2018-11-11T00:00:00" maxDate="2020-12-06T00:00:00" count="16">
        <d v="2018-11-11T00:00:00"/>
        <d v="2019-12-11T00:00:00"/>
        <d v="2018-12-18T00:00:00"/>
        <d v="2019-01-01T00:00:00"/>
        <d v="2019-02-18T00:00:00"/>
        <d v="2019-03-28T00:00:00"/>
        <d v="2019-04-30T00:00:00"/>
        <d v="2019-05-22T00:00:00"/>
        <d v="2019-06-19T00:00:00"/>
        <d v="2019-07-26T00:00:00"/>
        <d v="2019-08-22T00:00:00"/>
        <d v="2019-09-01T00:00:00"/>
        <d v="2019-10-11T00:00:00"/>
        <d v="2019-11-27T00:00:00"/>
        <d v="2020-12-05T00:00:00"/>
        <d v="2020-01-28T00:00:00"/>
      </sharedItems>
      <fieldGroup par="10" base="1">
        <rangePr groupBy="months" startDate="2018-11-11T00:00:00" endDate="2020-12-06T00:00:00"/>
        <groupItems count="14">
          <s v="&lt;11/1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/12/2020"/>
        </groupItems>
      </fieldGroup>
    </cacheField>
    <cacheField name="Item Name" numFmtId="0">
      <sharedItems count="15">
        <s v="Oppo A1k"/>
        <s v="Oppo A71"/>
        <s v="Oppo Reno 6/256"/>
        <s v="Oppo Find X 8/128"/>
        <s v="Oppo R17"/>
        <s v="Oppo Reno 10X Zoom 12/256"/>
        <s v="Oppo K3"/>
        <s v="Oppo F5 4/32"/>
        <s v="Oppo F5 Youth"/>
        <s v="Oppo A5(2020"/>
        <s v="Oppo Reno2 F"/>
        <s v="Oppo A9(2020"/>
        <s v="Oppo F7 6/128"/>
        <s v="Oppo A83 3/32"/>
        <s v="Oppo Reno Z"/>
      </sharedItems>
    </cacheField>
    <cacheField name="Category" numFmtId="0">
      <sharedItems/>
    </cacheField>
    <cacheField name="Quantity" numFmtId="1">
      <sharedItems containsSemiMixedTypes="0" containsString="0" containsNumber="1" containsInteger="1" minValue="1" maxValue="10"/>
    </cacheField>
    <cacheField name="Stock" numFmtId="1">
      <sharedItems containsSemiMixedTypes="0" containsString="0" containsNumber="1" containsInteger="1" minValue="50" maxValue="50"/>
    </cacheField>
    <cacheField name="Stock Left" numFmtId="1">
      <sharedItems containsSemiMixedTypes="0" containsString="0" containsNumber="1" containsInteger="1" minValue="40" maxValue="49"/>
    </cacheField>
    <cacheField name="Price" numFmtId="42">
      <sharedItems containsSemiMixedTypes="0" containsString="0" containsNumber="1" containsInteger="1" minValue="1350000" maxValue="9999000"/>
    </cacheField>
    <cacheField name="Total Price" numFmtId="164">
      <sharedItems containsSemiMixedTypes="0" containsString="0" containsNumber="1" containsInteger="1" minValue="3198000" maxValue="69993000"/>
    </cacheField>
    <cacheField name="Quarters" numFmtId="0" databaseField="0">
      <fieldGroup base="1">
        <rangePr groupBy="quarters" startDate="2018-11-11T00:00:00" endDate="2020-12-06T00:00:00"/>
        <groupItems count="6">
          <s v="&lt;11/11/2018"/>
          <s v="Qtr1"/>
          <s v="Qtr2"/>
          <s v="Qtr3"/>
          <s v="Qtr4"/>
          <s v="&gt;06/12/2020"/>
        </groupItems>
      </fieldGroup>
    </cacheField>
    <cacheField name="Years" numFmtId="0" databaseField="0">
      <fieldGroup base="1">
        <rangePr groupBy="years" startDate="2018-11-11T00:00:00" endDate="2020-12-06T00:00:00"/>
        <groupItems count="5">
          <s v="&lt;11/11/2018"/>
          <s v="2018"/>
          <s v="2019"/>
          <s v="2020"/>
          <s v="&gt;06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838.351977662038" createdVersion="6" refreshedVersion="6" minRefreshableVersion="3" recordCount="32" xr:uid="{C6B0BA22-3CEA-488A-939C-0F8DF78A6A1D}">
  <cacheSource type="worksheet">
    <worksheetSource name="Table6"/>
  </cacheSource>
  <cacheFields count="10">
    <cacheField name="Type" numFmtId="0">
      <sharedItems/>
    </cacheField>
    <cacheField name="Price" numFmtId="42">
      <sharedItems containsSemiMixedTypes="0" containsString="0" containsNumber="1" containsInteger="1" minValue="1350000" maxValue="10299000"/>
    </cacheField>
    <cacheField name="Number Of Installment" numFmtId="0">
      <sharedItems containsSemiMixedTypes="0" containsString="0" containsNumber="1" containsInteger="1" minValue="9" maxValue="9"/>
    </cacheField>
    <cacheField name="Interest Rate" numFmtId="9">
      <sharedItems containsSemiMixedTypes="0" containsString="0" containsNumber="1" minValue="0.36" maxValue="0.36"/>
    </cacheField>
    <cacheField name="DP Interest Rate" numFmtId="9">
      <sharedItems containsSemiMixedTypes="0" containsString="0" containsNumber="1" minValue="0.1" maxValue="0.1"/>
    </cacheField>
    <cacheField name="DP" numFmtId="164">
      <sharedItems containsSemiMixedTypes="0" containsString="0" containsNumber="1" containsInteger="1" minValue="135000" maxValue="1029900"/>
    </cacheField>
    <cacheField name="Remaining Payment" numFmtId="42">
      <sharedItems containsSemiMixedTypes="0" containsString="0" containsNumber="1" containsInteger="1" minValue="1215000" maxValue="9269100"/>
    </cacheField>
    <cacheField name="Monthly Installment" numFmtId="8">
      <sharedItems containsSemiMixedTypes="0" containsString="0" containsNumber="1" minValue="163408.9861277242" maxValue="1246628.9986143936"/>
    </cacheField>
    <cacheField name="Total Payment" numFmtId="42">
      <sharedItems containsSemiMixedTypes="0" containsString="0" containsNumber="1" minValue="1470680.8751495178" maxValue="11219660.987529542"/>
    </cacheField>
    <cacheField name="Profit" numFmtId="42">
      <sharedItems containsSemiMixedTypes="0" containsString="0" containsNumber="1" minValue="120680.87514951779" maxValue="920660.9875295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838.558618981479" createdVersion="6" refreshedVersion="6" minRefreshableVersion="3" recordCount="32" xr:uid="{1E8A91A8-4B63-4727-93A7-B2F379E5C999}">
  <cacheSource type="worksheet">
    <worksheetSource name="Table8"/>
  </cacheSource>
  <cacheFields count="10">
    <cacheField name="Type" numFmtId="0">
      <sharedItems count="32">
        <s v="Oppo Reno 6/256"/>
        <s v="Oppo Reno2"/>
        <s v="Oppo Reno2 F"/>
        <s v="Oppo Reno Z"/>
        <s v="Oppo Reno 10X Zoom 8/256"/>
        <s v="Oppo Reno 10X Zoom 12/256"/>
        <s v="Oppo A1k"/>
        <s v="Oppo A3s"/>
        <s v="Oppo A5(2020)"/>
        <s v="Oppo A57"/>
        <s v="Oppo A5s"/>
        <s v="Oppo A7"/>
        <s v="Oppo A71"/>
        <s v="Oppo A83 2/16"/>
        <s v="Oppo A83 3/32"/>
        <s v="Oppo A9(2020)"/>
        <s v="Oppo F11"/>
        <s v="Oppo F11 Pro"/>
        <s v="Oppo F3"/>
        <s v="Oppo F3 Plus"/>
        <s v="Oppo F5 4/32"/>
        <s v="Oppo F5 6/64"/>
        <s v="Oppo F5 Youth"/>
        <s v="Oppo F7 4/64"/>
        <s v="Oppo F7 6/128"/>
        <s v="Oppo F7 Youth"/>
        <s v="Oppo F9 4/64"/>
        <s v="Oppo F9 6/64"/>
        <s v="Oppo Find X 8/128"/>
        <s v="Oppo Find X 8/256"/>
        <s v="Oppo K3"/>
        <s v="Oppo R17"/>
      </sharedItems>
    </cacheField>
    <cacheField name="Price" numFmtId="42">
      <sharedItems containsSemiMixedTypes="0" containsString="0" containsNumber="1" containsInteger="1" minValue="1350000" maxValue="10299000"/>
    </cacheField>
    <cacheField name="Number Of Installment" numFmtId="0">
      <sharedItems containsSemiMixedTypes="0" containsString="0" containsNumber="1" containsInteger="1" minValue="12" maxValue="12"/>
    </cacheField>
    <cacheField name="Interest Rate" numFmtId="9">
      <sharedItems containsSemiMixedTypes="0" containsString="0" containsNumber="1" minValue="0.4" maxValue="0.4"/>
    </cacheField>
    <cacheField name="DP Interest Rate" numFmtId="9">
      <sharedItems containsSemiMixedTypes="0" containsString="0" containsNumber="1" minValue="0.1" maxValue="0.1"/>
    </cacheField>
    <cacheField name="DP" numFmtId="164">
      <sharedItems containsSemiMixedTypes="0" containsString="0" containsNumber="1" containsInteger="1" minValue="135000" maxValue="1029900"/>
    </cacheField>
    <cacheField name="Remaining Payment" numFmtId="42">
      <sharedItems containsSemiMixedTypes="0" containsString="0" containsNumber="1" containsInteger="1" minValue="1215000" maxValue="9269100"/>
    </cacheField>
    <cacheField name="Monthly Installment" numFmtId="164">
      <sharedItems containsSemiMixedTypes="0" containsString="0" containsNumber="1" minValue="124502.85167697693" maxValue="949818.42179347062"/>
    </cacheField>
    <cacheField name="Total Payment" numFmtId="164">
      <sharedItems containsSemiMixedTypes="0" containsString="0" containsNumber="1" minValue="1494034.2201237231" maxValue="11397821.061521647"/>
    </cacheField>
    <cacheField name="Profit" numFmtId="164">
      <sharedItems containsSemiMixedTypes="0" containsString="0" containsNumber="1" minValue="144034.22012372315" maxValue="1098821.06152164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838.561013310187" createdVersion="6" refreshedVersion="6" minRefreshableVersion="3" recordCount="16" xr:uid="{9FA85198-2356-47F3-94BE-8A1579A179DB}">
  <cacheSource type="worksheet">
    <worksheetSource name="Table3"/>
  </cacheSource>
  <cacheFields count="17">
    <cacheField name="Customer Name" numFmtId="0">
      <sharedItems/>
    </cacheField>
    <cacheField name="Transaction Date" numFmtId="14">
      <sharedItems containsSemiMixedTypes="0" containsNonDate="0" containsDate="1" containsString="0" minDate="2018-11-11T00:00:00" maxDate="2020-12-06T00:00:00" count="16">
        <d v="2018-11-11T00:00:00"/>
        <d v="2019-12-11T00:00:00"/>
        <d v="2018-12-18T00:00:00"/>
        <d v="2019-01-01T00:00:00"/>
        <d v="2019-02-18T00:00:00"/>
        <d v="2019-03-28T00:00:00"/>
        <d v="2019-04-30T00:00:00"/>
        <d v="2019-05-22T00:00:00"/>
        <d v="2019-06-19T00:00:00"/>
        <d v="2019-07-26T00:00:00"/>
        <d v="2019-08-22T00:00:00"/>
        <d v="2019-09-01T00:00:00"/>
        <d v="2019-10-11T00:00:00"/>
        <d v="2019-11-27T00:00:00"/>
        <d v="2020-12-05T00:00:00"/>
        <d v="2020-01-28T00:00:00"/>
      </sharedItems>
      <fieldGroup par="16" base="1">
        <rangePr groupBy="months" startDate="2018-11-11T00:00:00" endDate="2020-12-06T00:00:00"/>
        <groupItems count="14">
          <s v="&lt;11/1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/12/2020"/>
        </groupItems>
      </fieldGroup>
    </cacheField>
    <cacheField name="Item Name" numFmtId="0">
      <sharedItems/>
    </cacheField>
    <cacheField name="Quantity" numFmtId="0">
      <sharedItems containsSemiMixedTypes="0" containsString="0" containsNumber="1" containsInteger="1" minValue="1" maxValue="10"/>
    </cacheField>
    <cacheField name="Price" numFmtId="42">
      <sharedItems containsSemiMixedTypes="0" containsString="0" containsNumber="1" containsInteger="1" minValue="1350000" maxValue="9999000"/>
    </cacheField>
    <cacheField name="Total Price" numFmtId="42">
      <sharedItems containsSemiMixedTypes="0" containsString="0" containsNumber="1" containsInteger="1" minValue="3198000" maxValue="69993000"/>
    </cacheField>
    <cacheField name="Number Of Installment" numFmtId="0">
      <sharedItems containsSemiMixedTypes="0" containsString="0" containsNumber="1" containsInteger="1" minValue="12" maxValue="12"/>
    </cacheField>
    <cacheField name="Interest Rate" numFmtId="9">
      <sharedItems containsSemiMixedTypes="0" containsString="0" containsNumber="1" minValue="0.4" maxValue="0.4"/>
    </cacheField>
    <cacheField name="DP Interest Rate" numFmtId="9">
      <sharedItems containsSemiMixedTypes="0" containsString="0" containsNumber="1" minValue="0.1" maxValue="0.1"/>
    </cacheField>
    <cacheField name="DP per Unit" numFmtId="164">
      <sharedItems containsSemiMixedTypes="0" containsString="0" containsNumber="1" containsInteger="1" minValue="135000" maxValue="999900"/>
    </cacheField>
    <cacheField name="DP Total" numFmtId="164">
      <sharedItems containsSemiMixedTypes="0" containsString="0" containsNumber="1" containsInteger="1" minValue="319800" maxValue="6999300"/>
    </cacheField>
    <cacheField name="Remaining Payment" numFmtId="164">
      <sharedItems containsSemiMixedTypes="0" containsString="0" containsNumber="1" containsInteger="1" minValue="2878200" maxValue="62993700"/>
    </cacheField>
    <cacheField name="Monthly Installment" numFmtId="164">
      <sharedItems containsSemiMixedTypes="0" containsString="0" containsNumber="1" minValue="294933.42197257205" maxValue="6455057.8499456644"/>
    </cacheField>
    <cacheField name="Total Payment" numFmtId="164">
      <sharedItems containsSemiMixedTypes="0" containsString="0" containsNumber="1" minValue="3539201.0636708643" maxValue="77460694.199347973"/>
    </cacheField>
    <cacheField name="Profit" numFmtId="164">
      <sharedItems containsSemiMixedTypes="0" containsString="0" containsNumber="1" minValue="341201.06367086433" maxValue="7467694.1993479729"/>
    </cacheField>
    <cacheField name="Quarters" numFmtId="0" databaseField="0">
      <fieldGroup base="1">
        <rangePr groupBy="quarters" startDate="2018-11-11T00:00:00" endDate="2020-12-06T00:00:00"/>
        <groupItems count="6">
          <s v="&lt;11/11/2018"/>
          <s v="Qtr1"/>
          <s v="Qtr2"/>
          <s v="Qtr3"/>
          <s v="Qtr4"/>
          <s v="&gt;06/12/2020"/>
        </groupItems>
      </fieldGroup>
    </cacheField>
    <cacheField name="Years" numFmtId="0" databaseField="0">
      <fieldGroup base="1">
        <rangePr groupBy="years" startDate="2018-11-11T00:00:00" endDate="2020-12-06T00:00:00"/>
        <groupItems count="5">
          <s v="&lt;11/11/2018"/>
          <s v="2018"/>
          <s v="2019"/>
          <s v="2020"/>
          <s v="&gt;06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838.872405787035" createdVersion="6" refreshedVersion="6" minRefreshableVersion="3" recordCount="32" xr:uid="{F1974285-52CE-4FDE-A04D-2D42E76A1BEF}">
  <cacheSource type="worksheet">
    <worksheetSource name="Table11"/>
  </cacheSource>
  <cacheFields count="6">
    <cacheField name="Type" numFmtId="0">
      <sharedItems count="32">
        <s v="Oppo Reno 6/256"/>
        <s v="Oppo Reno2"/>
        <s v="Oppo Reno2 F"/>
        <s v="Oppo Reno Z"/>
        <s v="Oppo Reno 10X Zoom 8/256"/>
        <s v="Oppo Reno 10X Zoom 12/256"/>
        <s v="Oppo A1k"/>
        <s v="Oppo A3s"/>
        <s v="Oppo A5(2020)"/>
        <s v="Oppo A57"/>
        <s v="Oppo A5s"/>
        <s v="Oppo A7"/>
        <s v="Oppo A71"/>
        <s v="Oppo A83 2/16"/>
        <s v="Oppo A83 3/32"/>
        <s v="Oppo A9(2020)"/>
        <s v="Oppo F11"/>
        <s v="Oppo F11 Pro"/>
        <s v="Oppo F3"/>
        <s v="Oppo F3 Plus"/>
        <s v="Oppo F5 4/32"/>
        <s v="Oppo F5 6/64"/>
        <s v="Oppo F5 Youth"/>
        <s v="Oppo F7 4/64"/>
        <s v="Oppo F7 6/128"/>
        <s v="Oppo F7 Youth"/>
        <s v="Oppo F9 4/64"/>
        <s v="Oppo F9 6/64"/>
        <s v="Oppo Find X 8/128"/>
        <s v="Oppo Find X 8/256"/>
        <s v="Oppo K3"/>
        <s v="Oppo R17"/>
      </sharedItems>
    </cacheField>
    <cacheField name="Price" numFmtId="164">
      <sharedItems containsSemiMixedTypes="0" containsString="0" containsNumber="1" containsInteger="1" minValue="1350000" maxValue="10299000"/>
    </cacheField>
    <cacheField name="Stock" numFmtId="0">
      <sharedItems containsSemiMixedTypes="0" containsString="0" containsNumber="1" containsInteger="1" minValue="200" maxValue="200"/>
    </cacheField>
    <cacheField name="Category" numFmtId="0">
      <sharedItems count="6">
        <s v="Reno Series"/>
        <s v="A Series"/>
        <s v="F Series"/>
        <s v="Find X Series"/>
        <s v="K Series"/>
        <s v="R Series"/>
      </sharedItems>
    </cacheField>
    <cacheField name="Published On" numFmtId="14">
      <sharedItems containsSemiMixedTypes="0" containsNonDate="0" containsDate="1" containsString="0" minDate="2018-05-11T00:00:00" maxDate="2020-01-01T00:00:00" count="22">
        <d v="2019-08-12T00:00:00"/>
        <d v="2019-12-12T00:00:00"/>
        <d v="2019-07-12T00:00:00"/>
        <d v="2019-05-12T00:00:00"/>
        <d v="2019-05-07T00:00:00"/>
        <d v="2019-06-05T00:00:00"/>
        <d v="2019-12-31T00:00:00"/>
        <d v="2019-11-12T00:00:00"/>
        <d v="2019-05-11T00:00:00"/>
        <d v="2018-11-05T00:00:00"/>
        <d v="2019-06-25T00:00:00"/>
        <d v="2018-11-11T00:00:00"/>
        <d v="2019-12-25T00:00:00"/>
        <d v="2018-05-11T00:00:00"/>
        <d v="2018-09-11T00:00:00"/>
        <d v="2019-11-04T00:00:00"/>
        <d v="2019-11-11T00:00:00"/>
        <d v="2019-11-22T00:00:00"/>
        <d v="2019-05-05T00:00:00"/>
        <d v="2019-06-11T00:00:00"/>
        <d v="2018-06-18T00:00:00"/>
        <d v="2019-07-18T00:00:00"/>
      </sharedItems>
    </cacheField>
    <cacheField name="ID Product" numFmtId="0">
      <sharedItems count="32">
        <s v="P-SMRT-SRN0100"/>
        <s v="P-SMRT-SRN0237"/>
        <s v="P-SMRT-SRN0312"/>
        <s v="P-SMRT-SRN0421"/>
        <s v="P-SMRT-SRN0577"/>
        <s v="P-SMRT-SRN0684"/>
        <s v="P-SMRT-SA01"/>
        <s v="P-SMRT-SA02"/>
        <s v="P-SMRT-SA03"/>
        <s v="P-SMRT-SA04"/>
        <s v="P-SMRT-SA05"/>
        <s v="P-SMRT-SA06"/>
        <s v="P-SMRT-SA07"/>
        <s v="P-SMRT-SA08"/>
        <s v="P-SMRT-SA09"/>
        <s v="P-SMRT-SA10"/>
        <s v="P-SMRT-SF0142"/>
        <s v="P-SMRT-SF0276"/>
        <s v="P-SMRT-SF0301"/>
        <s v="P-SMRT-SF0477"/>
        <s v="P-SMRT-SF0524"/>
        <s v="P-SMRT-SF0687"/>
        <s v="P-SMRT-SF0712"/>
        <s v="P-SMRT-SF0899"/>
        <s v="P-SMRT-SF0983"/>
        <s v="P-SMRT-SF1027"/>
        <s v="P-SMRT-SF1112"/>
        <s v="P-SMRT-SF1234"/>
        <s v="P-SMRT-SFX010"/>
        <s v="P-SMRT-SFX020"/>
        <s v="P-SMRT-SK0111"/>
        <s v="P-SMRT-SR01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838.92025127315" createdVersion="6" refreshedVersion="6" minRefreshableVersion="3" recordCount="32" xr:uid="{B76A7D70-878D-4B57-B4C5-66EF7356D450}">
  <cacheSource type="worksheet">
    <worksheetSource name="Table5"/>
  </cacheSource>
  <cacheFields count="10">
    <cacheField name="Years" numFmtId="14">
      <sharedItems containsDate="1" containsMixedTypes="1" minDate="2019-01-11T00:00:00" maxDate="2021-08-12T00:00:00" count="32">
        <d v="2019-01-11T00:00:00"/>
        <d v="2019-02-12T00:00:00"/>
        <d v="2019-03-13T00:00:00"/>
        <d v="2019-04-14T00:00:00"/>
        <d v="2019-05-15T00:00:00"/>
        <d v="2019-06-16T00:00:00"/>
        <d v="2019-07-17T00:00:00"/>
        <d v="2019-08-18T00:00:00"/>
        <d v="2019-09-19T00:00:00"/>
        <d v="2019-10-20T00:00:00"/>
        <d v="2019-11-21T00:00:00"/>
        <d v="2019-12-22T00:00:00"/>
        <d v="2020-01-23T00:00:00"/>
        <d v="2020-02-24T00:00:00"/>
        <d v="2020-03-25T00:00:00"/>
        <d v="2020-04-26T00:00:00"/>
        <d v="2020-05-27T00:00:00"/>
        <d v="2020-06-28T00:00:00"/>
        <d v="2020-07-29T00:00:00"/>
        <d v="2020-08-30T00:00:00"/>
        <s v="31/09/2020"/>
        <d v="2020-10-01T00:00:00"/>
        <d v="2020-11-02T00:00:00"/>
        <d v="2020-12-03T00:00:00"/>
        <d v="2021-01-04T00:00:00"/>
        <d v="2021-02-05T00:00:00"/>
        <d v="2021-03-06T00:00:00"/>
        <d v="2021-04-07T00:00:00"/>
        <d v="2021-05-08T00:00:00"/>
        <d v="2021-06-09T00:00:00"/>
        <d v="2021-07-10T00:00:00"/>
        <d v="2021-08-11T00:00:00"/>
      </sharedItems>
    </cacheField>
    <cacheField name="Item" numFmtId="0">
      <sharedItems count="32">
        <s v="Oppo Reno 6/256"/>
        <s v="Oppo Reno2"/>
        <s v="Oppo Reno2 F"/>
        <s v="Oppo Reno Z"/>
        <s v="Oppo Reno 10X Zoom 8/256"/>
        <s v="Oppo Reno 10X Zoom 12/256"/>
        <s v="Oppo A1k"/>
        <s v="Oppo A3s"/>
        <s v="Oppo A5(2020)"/>
        <s v="Oppo A57"/>
        <s v="Oppo A5s"/>
        <s v="Oppo A7"/>
        <s v="Oppo A71"/>
        <s v="Oppo A83 2/16"/>
        <s v="Oppo A83 3/32"/>
        <s v="Oppo A9(2020)"/>
        <s v="Oppo F11"/>
        <s v="Oppo F11 Pro"/>
        <s v="Oppo F3"/>
        <s v="Oppo F3 Plus"/>
        <s v="Oppo F5 4/32"/>
        <s v="Oppo F5 6/64"/>
        <s v="Oppo F5 Youth"/>
        <s v="Oppo F7 4/64"/>
        <s v="Oppo F7 6/128"/>
        <s v="Oppo F7 Youth"/>
        <s v="Oppo F9 4/64"/>
        <s v="Oppo F9 6/64"/>
        <s v="Oppo Find X 8/128"/>
        <s v="Oppo Find X 8/256"/>
        <s v="Oppo K3"/>
        <s v="Oppo R17"/>
      </sharedItems>
    </cacheField>
    <cacheField name="Quantity" numFmtId="0">
      <sharedItems containsSemiMixedTypes="0" containsString="0" containsNumber="1" containsInteger="1" minValue="18" maxValue="189"/>
    </cacheField>
    <cacheField name="Stock" numFmtId="0">
      <sharedItems containsSemiMixedTypes="0" containsString="0" containsNumber="1" containsInteger="1" minValue="200" maxValue="200"/>
    </cacheField>
    <cacheField name="Left Stock" numFmtId="0">
      <sharedItems containsSemiMixedTypes="0" containsString="0" containsNumber="1" containsInteger="1" minValue="11" maxValue="182"/>
    </cacheField>
    <cacheField name="Price Per Unite" numFmtId="42">
      <sharedItems containsSemiMixedTypes="0" containsString="0" containsNumber="1" containsInteger="1" minValue="1350000" maxValue="10299000"/>
    </cacheField>
    <cacheField name="Total Price" numFmtId="42">
      <sharedItems containsSemiMixedTypes="0" containsString="0" containsNumber="1" containsInteger="1" minValue="103180000" maxValue="1511811000"/>
    </cacheField>
    <cacheField name="Gross Income" numFmtId="42">
      <sharedItems containsSemiMixedTypes="0" containsString="0" containsNumber="1" containsInteger="1" minValue="103180000" maxValue="1511811000"/>
    </cacheField>
    <cacheField name="Loss" numFmtId="42">
      <sharedItems containsSemiMixedTypes="0" containsString="0" containsNumber="1" containsInteger="1" minValue="51597600" maxValue="1819818000"/>
    </cacheField>
    <cacheField name="Net Income" numFmtId="42">
      <sharedItems containsSemiMixedTypes="0" containsString="0" containsNumber="1" containsInteger="1" minValue="-1639836000" maxValue="142382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3845.523878935186" createdVersion="5" refreshedVersion="6" minRefreshableVersion="3" recordCount="0" supportSubquery="1" supportAdvancedDrill="1" xr:uid="{53EC3705-9683-4139-9A53-A87A0F656A8C}">
  <cacheSource type="external" connectionId="1"/>
  <cacheFields count="6">
    <cacheField name="[Transaction].[Transaction Date].[Transaction Date]" caption="Transaction Date" numFmtId="0" hierarchy="7" level="1">
      <sharedItems containsSemiMixedTypes="0" containsNonDate="0" containsDate="1" containsString="0" minDate="2018-11-11T00:00:00" maxDate="2020-12-06T00:00:00" count="16">
        <d v="2018-11-11T00:00:00"/>
        <d v="2018-12-18T00:00:00"/>
        <d v="2019-01-01T00:00:00"/>
        <d v="2019-02-18T00:00:00"/>
        <d v="2019-03-28T00:00:00"/>
        <d v="2019-04-30T00:00:00"/>
        <d v="2019-05-22T00:00:00"/>
        <d v="2019-06-19T00:00:00"/>
        <d v="2019-07-26T00:00:00"/>
        <d v="2019-08-22T00:00:00"/>
        <d v="2019-09-01T00:00:00"/>
        <d v="2019-10-11T00:00:00"/>
        <d v="2019-11-27T00:00:00"/>
        <d v="2019-12-11T00:00:00"/>
        <d v="2020-01-28T00:00:00"/>
        <d v="2020-12-05T00:00:00"/>
      </sharedItems>
    </cacheField>
    <cacheField name="[Transaction].[Item Name].[Item Name]" caption="Item Name" numFmtId="0" hierarchy="8" level="1">
      <sharedItems count="15">
        <s v="Oppo A1k"/>
        <s v="Oppo Reno 6/256"/>
        <s v="Oppo Find X 8/128"/>
        <s v="Oppo R17"/>
        <s v="Oppo Reno 10X Zoom 12/256"/>
        <s v="Oppo K3"/>
        <s v="Oppo F5 4/32"/>
        <s v="Oppo F5 Youth"/>
        <s v="Oppo A5(2020)"/>
        <s v="Oppo Reno2 F"/>
        <s v="Oppo A9(2020)"/>
        <s v="Oppo F7 6/128"/>
        <s v="Oppo A71"/>
        <s v="Oppo Reno Z"/>
        <s v="Oppo A83 3/32"/>
      </sharedItems>
    </cacheField>
    <cacheField name="[Transaction].[Customer Name].[Customer Name]" caption="Customer Name" numFmtId="0" hierarchy="6" level="1">
      <sharedItems count="16">
        <s v="Rifky"/>
        <s v="Raihan"/>
        <s v="Dewi"/>
        <s v="Ica"/>
        <s v="Anca"/>
        <s v="Hafid"/>
        <s v="Anwar"/>
        <s v="Boleng"/>
        <s v="Putra"/>
        <s v="Sofyan"/>
        <s v="Riri"/>
        <s v="Agus"/>
        <s v="Permata"/>
        <s v="Adam"/>
        <s v="Jhon"/>
        <s v="Alex"/>
      </sharedItems>
    </cacheField>
    <cacheField name="[Measures].[Sum of Total Price]" caption="Sum of Total Price" numFmtId="0" hierarchy="24" level="32767"/>
    <cacheField name="[Measures].[Sum of Quantity]" caption="Sum of Quantity" numFmtId="0" hierarchy="23" level="32767"/>
    <cacheField name="[Measures].[Sum of Price 2]" caption="Sum of Price 2" numFmtId="0" hierarchy="21" level="32767"/>
  </cacheFields>
  <cacheHierarchies count="25">
    <cacheHierarchy uniqueName="[Detail Product].[Type]" caption="Type" attribute="1" defaultMemberUniqueName="[Detail Product].[Type].[All]" allUniqueName="[Detail Product].[Type].[All]" dimensionUniqueName="[Detail Product]" displayFolder="" count="0" memberValueDatatype="130" unbalanced="0"/>
    <cacheHierarchy uniqueName="[Detail Product].[Price]" caption="Price" attribute="1" defaultMemberUniqueName="[Detail Product].[Price].[All]" allUniqueName="[Detail Product].[Price].[All]" dimensionUniqueName="[Detail Product]" displayFolder="" count="0" memberValueDatatype="20" unbalanced="0"/>
    <cacheHierarchy uniqueName="[Detail Product].[Stock]" caption="Stock" attribute="1" defaultMemberUniqueName="[Detail Product].[Stock].[All]" allUniqueName="[Detail Product].[Stock].[All]" dimensionUniqueName="[Detail Product]" displayFolder="" count="0" memberValueDatatype="20" unbalanced="0"/>
    <cacheHierarchy uniqueName="[Detail Product].[Category]" caption="Category" attribute="1" defaultMemberUniqueName="[Detail Product].[Category].[All]" allUniqueName="[Detail Product].[Category].[All]" dimensionUniqueName="[Detail Product]" displayFolder="" count="0" memberValueDatatype="130" unbalanced="0"/>
    <cacheHierarchy uniqueName="[Detail Product].[Published On]" caption="Published On" attribute="1" time="1" defaultMemberUniqueName="[Detail Product].[Published On].[All]" allUniqueName="[Detail Product].[Published On].[All]" dimensionUniqueName="[Detail Product]" displayFolder="" count="0" memberValueDatatype="7" unbalanced="0"/>
    <cacheHierarchy uniqueName="[Detail Product].[ID Product]" caption="ID Product" attribute="1" defaultMemberUniqueName="[Detail Product].[ID Product].[All]" allUniqueName="[Detail Product].[ID Product].[All]" dimensionUniqueName="[Detail Product]" displayFolder="" count="0" memberValueDatatype="130" unbalanced="0"/>
    <cacheHierarchy uniqueName="[Transaction].[Customer Name]" caption="Customer Name" attribute="1" defaultMemberUniqueName="[Transaction].[Customer Name].[All]" allUniqueName="[Transaction].[Customer Name].[All]" dimensionUniqueName="[Transaction]" displayFolder="" count="2" memberValueDatatype="130" unbalanced="0">
      <fieldsUsage count="2">
        <fieldUsage x="-1"/>
        <fieldUsage x="2"/>
      </fieldsUsage>
    </cacheHierarchy>
    <cacheHierarchy uniqueName="[Transaction].[Transaction Date]" caption="Transaction Date" attribute="1" time="1" defaultMemberUniqueName="[Transaction].[Transaction Date].[All]" allUniqueName="[Transaction].[Transaction Date].[All]" dimensionUniqueName="[Transaction]" displayFolder="" count="2" memberValueDatatype="7" unbalanced="0">
      <fieldsUsage count="2">
        <fieldUsage x="-1"/>
        <fieldUsage x="0"/>
      </fieldsUsage>
    </cacheHierarchy>
    <cacheHierarchy uniqueName="[Transaction].[Item Name]" caption="Item Name" attribute="1" defaultMemberUniqueName="[Transaction].[Item Name].[All]" allUniqueName="[Transaction].[Item Name].[All]" dimensionUniqueName="[Transaction]" displayFolder="" count="2" memberValueDatatype="130" unbalanced="0">
      <fieldsUsage count="2">
        <fieldUsage x="-1"/>
        <fieldUsage x="1"/>
      </fieldsUsage>
    </cacheHierarchy>
    <cacheHierarchy uniqueName="[Transaction].[Category]" caption="Category" attribute="1" defaultMemberUniqueName="[Transaction].[Category].[All]" allUniqueName="[Transaction].[Category].[All]" dimensionUniqueName="[Transaction]" displayFolder="" count="0" memberValueDatatype="130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Transaction].[Stock]" caption="Stock" attribute="1" defaultMemberUniqueName="[Transaction].[Stock].[All]" allUniqueName="[Transaction].[Stock].[All]" dimensionUniqueName="[Transaction]" displayFolder="" count="0" memberValueDatatype="20" unbalanced="0"/>
    <cacheHierarchy uniqueName="[Transaction].[Stock Left]" caption="Stock Left" attribute="1" defaultMemberUniqueName="[Transaction].[Stock Left].[All]" allUniqueName="[Transaction].[Stock Left].[All]" dimensionUniqueName="[Transaction]" displayFolder="" count="0" memberValueDatatype="20" unbalanced="0"/>
    <cacheHierarchy uniqueName="[Transaction].[Price]" caption="Price" attribute="1" defaultMemberUniqueName="[Transaction].[Price].[All]" allUniqueName="[Transaction].[Price].[All]" dimensionUniqueName="[Transaction]" displayFolder="" count="0" memberValueDatatype="20" unbalanced="0"/>
    <cacheHierarchy uniqueName="[Transaction].[Total Price]" caption="Total Price" attribute="1" defaultMemberUniqueName="[Transaction].[Total Price].[All]" allUniqueName="[Transaction].[Total Price].[All]" dimensionUniqueName="[Transaction]" displayFolder="" count="0" memberValueDatatype="20" unbalanced="0"/>
    <cacheHierarchy uniqueName="[Transaction].[ID Product]" caption="ID Product" attribute="1" defaultMemberUniqueName="[Transaction].[ID Product].[All]" allUniqueName="[Transaction].[ID Product].[All]" dimensionUniqueName="[Transaction]" displayFolder="" count="0" memberValueDatatype="130" unbalanced="0"/>
    <cacheHierarchy uniqueName="[Measures].[__XL_Count Table2]" caption="__XL_Count Table2" measure="1" displayFolder="" measureGroup="Transaction" count="0" hidden="1"/>
    <cacheHierarchy uniqueName="[Measures].[__XL_Count Table11]" caption="__XL_Count Table11" measure="1" displayFolder="" measureGroup="Detail Product" count="0" hidden="1"/>
    <cacheHierarchy uniqueName="[Measures].[__No measures defined]" caption="__No measures defined" measure="1" displayFolder="" count="0" hidden="1"/>
    <cacheHierarchy uniqueName="[Measures].[Sum of Stock]" caption="Sum of Stock" measure="1" displayFolder="" measureGroup="Detail Produc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ice]" caption="Sum of Price" measure="1" displayFolder="" measureGroup="Detail Produc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ice 2]" caption="Sum of Price 2" measure="1" displayFolder="" measureGroup="Transaction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tock 2]" caption="Sum of Stock 2" measure="1" displayFolder="" measureGroup="Transactio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Quantity]" caption="Sum of Quantity" measure="1" displayFolder="" measureGroup="Transactio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Price]" caption="Sum of Total Price" measure="1" displayFolder="" measureGroup="Transactio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name="Detail Product" uniqueName="[Detail Product]" caption="Detail Product"/>
    <dimension measure="1" name="Measures" uniqueName="[Measures]" caption="Measures"/>
    <dimension name="Transaction" uniqueName="[Transaction]" caption="Transaction"/>
  </dimensions>
  <measureGroups count="2">
    <measureGroup name="Detail Product" caption="Detail Product"/>
    <measureGroup name="Transaction" caption="Transaction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Rifky"/>
    <x v="0"/>
    <x v="0"/>
    <s v="Oppo Series A"/>
    <n v="2"/>
    <n v="50"/>
    <n v="48"/>
    <n v="1599000"/>
    <n v="3198000"/>
  </r>
  <r>
    <s v="Adam"/>
    <x v="1"/>
    <x v="1"/>
    <s v="Oppo Series A"/>
    <n v="5"/>
    <n v="50"/>
    <n v="45"/>
    <n v="1599000"/>
    <n v="7995000"/>
  </r>
  <r>
    <s v="Raihan"/>
    <x v="2"/>
    <x v="2"/>
    <s v="Oppo Series Reno"/>
    <n v="1"/>
    <n v="50"/>
    <n v="49"/>
    <n v="7999000"/>
    <n v="7999000"/>
  </r>
  <r>
    <s v="Dewi"/>
    <x v="3"/>
    <x v="3"/>
    <s v="Oppo Series Find"/>
    <n v="3"/>
    <n v="50"/>
    <n v="47"/>
    <n v="9999000"/>
    <n v="29997000"/>
  </r>
  <r>
    <s v="Ica"/>
    <x v="4"/>
    <x v="4"/>
    <s v="Oppo Series R"/>
    <n v="3"/>
    <n v="50"/>
    <n v="47"/>
    <n v="5999000"/>
    <n v="17997000"/>
  </r>
  <r>
    <s v="Anca"/>
    <x v="5"/>
    <x v="5"/>
    <s v="Oppo Series Reno"/>
    <n v="4"/>
    <n v="50"/>
    <n v="46"/>
    <n v="9999000"/>
    <n v="39996000"/>
  </r>
  <r>
    <s v="Hafid"/>
    <x v="6"/>
    <x v="6"/>
    <s v="Oppo Series K"/>
    <n v="10"/>
    <n v="50"/>
    <n v="40"/>
    <n v="3999000"/>
    <n v="39990000"/>
  </r>
  <r>
    <s v="Anwar"/>
    <x v="7"/>
    <x v="7"/>
    <s v="Oppo Series F"/>
    <n v="8"/>
    <n v="50"/>
    <n v="42"/>
    <n v="1350000"/>
    <n v="10800000"/>
  </r>
  <r>
    <s v="Boleng"/>
    <x v="8"/>
    <x v="3"/>
    <s v="Oppo Series Find"/>
    <n v="7"/>
    <n v="50"/>
    <n v="43"/>
    <n v="9999000"/>
    <n v="69993000"/>
  </r>
  <r>
    <s v="Putra"/>
    <x v="9"/>
    <x v="8"/>
    <s v="Oppo Series F"/>
    <n v="2"/>
    <n v="50"/>
    <n v="48"/>
    <n v="1699000"/>
    <n v="3398000"/>
  </r>
  <r>
    <s v="Sofyan"/>
    <x v="10"/>
    <x v="9"/>
    <s v="Oppo Series A"/>
    <n v="6"/>
    <n v="50"/>
    <n v="44"/>
    <n v="2149900"/>
    <n v="12899400"/>
  </r>
  <r>
    <s v="Riri"/>
    <x v="11"/>
    <x v="10"/>
    <s v="Oppo Seires Reno"/>
    <n v="4"/>
    <n v="50"/>
    <n v="46"/>
    <n v="4999000"/>
    <n v="19996000"/>
  </r>
  <r>
    <s v="Agus"/>
    <x v="12"/>
    <x v="11"/>
    <s v="Oppo Series A"/>
    <n v="3"/>
    <n v="50"/>
    <n v="47"/>
    <n v="3699000"/>
    <n v="11097000"/>
  </r>
  <r>
    <s v="Permata"/>
    <x v="13"/>
    <x v="12"/>
    <s v="Oppo  Series F"/>
    <n v="8"/>
    <n v="50"/>
    <n v="42"/>
    <n v="3299000"/>
    <n v="26392000"/>
  </r>
  <r>
    <s v="Alex"/>
    <x v="14"/>
    <x v="13"/>
    <s v="Oppo Series A"/>
    <n v="9"/>
    <n v="50"/>
    <n v="41"/>
    <n v="2099000"/>
    <n v="18891000"/>
  </r>
  <r>
    <s v="Jhon"/>
    <x v="15"/>
    <x v="14"/>
    <s v="Oppo Series Reno"/>
    <n v="5"/>
    <n v="50"/>
    <n v="45"/>
    <n v="6299000"/>
    <n v="3149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Oppo Reno 6/256"/>
    <n v="7999000"/>
    <n v="9"/>
    <n v="0.36"/>
    <n v="0.1"/>
    <n v="799900"/>
    <n v="7199100"/>
    <n v="968228.50373012293"/>
    <n v="8714056.5335711055"/>
    <n v="715056.53357110545"/>
  </r>
  <r>
    <s v="Oppo Reno2"/>
    <n v="7999000"/>
    <n v="9"/>
    <n v="0.36"/>
    <n v="0.1"/>
    <n v="799900"/>
    <n v="7199100"/>
    <n v="968228.50373012293"/>
    <n v="8714056.5335711055"/>
    <n v="715056.53357110545"/>
  </r>
  <r>
    <s v="Oppo Reno2 F"/>
    <n v="4999000"/>
    <n v="9"/>
    <n v="0.36"/>
    <n v="0.1"/>
    <n v="499900"/>
    <n v="4499100"/>
    <n v="605097.42344629136"/>
    <n v="5445876.811016622"/>
    <n v="446876.811016622"/>
  </r>
  <r>
    <s v="Oppo Reno Z"/>
    <n v="6299000"/>
    <n v="9"/>
    <n v="0.36"/>
    <n v="0.1"/>
    <n v="629900"/>
    <n v="5669100"/>
    <n v="762454.22490261821"/>
    <n v="6862088.0241235644"/>
    <n v="563088.02412356436"/>
  </r>
  <r>
    <s v="Oppo Reno 10X Zoom 8/256"/>
    <n v="8999000"/>
    <n v="9"/>
    <n v="0.36"/>
    <n v="0.1"/>
    <n v="899900"/>
    <n v="8099100"/>
    <n v="1089272.1971580666"/>
    <n v="9803449.774422599"/>
    <n v="804449.774422599"/>
  </r>
  <r>
    <s v="Oppo Reno 10X Zoom 12/256"/>
    <n v="9999000"/>
    <n v="9"/>
    <n v="0.36"/>
    <n v="0.1"/>
    <n v="999900"/>
    <n v="8999100"/>
    <n v="1210315.8905860106"/>
    <n v="10892843.015274096"/>
    <n v="893843.01527409628"/>
  </r>
  <r>
    <s v="Oppo A1k"/>
    <n v="1599000"/>
    <n v="9"/>
    <n v="0.36"/>
    <n v="0.1"/>
    <n v="159900"/>
    <n v="1439100"/>
    <n v="193548.86579128221"/>
    <n v="1741939.7921215398"/>
    <n v="142939.79212153982"/>
  </r>
  <r>
    <s v="Oppo A3s"/>
    <n v="1540000"/>
    <n v="9"/>
    <n v="0.36"/>
    <n v="0.1"/>
    <n v="154000"/>
    <n v="1386000"/>
    <n v="186407.28787903354"/>
    <n v="1677665.5909113018"/>
    <n v="137665.59091130178"/>
  </r>
  <r>
    <s v="Oppo A5(2020)"/>
    <n v="2149900"/>
    <n v="9"/>
    <n v="0.36"/>
    <n v="0.1"/>
    <n v="214990"/>
    <n v="1934910"/>
    <n v="260231.83650073648"/>
    <n v="2342086.5285066282"/>
    <n v="192186.52850662824"/>
  </r>
  <r>
    <s v="Oppo A57"/>
    <n v="1850000"/>
    <n v="9"/>
    <n v="0.36"/>
    <n v="0.1"/>
    <n v="185000"/>
    <n v="1665000"/>
    <n v="223930.8328416961"/>
    <n v="2015377.495575265"/>
    <n v="165377.49557526503"/>
  </r>
  <r>
    <s v="Oppo A5s"/>
    <n v="1699000"/>
    <n v="9"/>
    <n v="0.36"/>
    <n v="0.1"/>
    <n v="169900"/>
    <n v="1529100"/>
    <n v="205653.23513407659"/>
    <n v="1850879.1162066893"/>
    <n v="151879.11620668927"/>
  </r>
  <r>
    <s v="Oppo A7"/>
    <n v="2250000"/>
    <n v="9"/>
    <n v="0.36"/>
    <n v="0.1"/>
    <n v="225000"/>
    <n v="2025000"/>
    <n v="272348.31021287368"/>
    <n v="2451134.7919158633"/>
    <n v="201134.79191586329"/>
  </r>
  <r>
    <s v="Oppo A71"/>
    <n v="1599000"/>
    <n v="9"/>
    <n v="0.36"/>
    <n v="0.1"/>
    <n v="159900"/>
    <n v="1439100"/>
    <n v="193548.86579128221"/>
    <n v="1741939.7921215398"/>
    <n v="142939.79212153982"/>
  </r>
  <r>
    <s v="Oppo A83 2/16"/>
    <n v="1799000"/>
    <n v="9"/>
    <n v="0.36"/>
    <n v="0.1"/>
    <n v="179900"/>
    <n v="1619100"/>
    <n v="217757.60447687097"/>
    <n v="1959818.4402918387"/>
    <n v="160818.44029183872"/>
  </r>
  <r>
    <s v="Oppo A83 3/32"/>
    <n v="2099000"/>
    <n v="9"/>
    <n v="0.36"/>
    <n v="0.1"/>
    <n v="209900"/>
    <n v="1889100"/>
    <n v="254070.71250525417"/>
    <n v="2286636.4125472875"/>
    <n v="187636.41254728753"/>
  </r>
  <r>
    <s v="Oppo A9(2020)"/>
    <n v="3699000"/>
    <n v="9"/>
    <n v="0.36"/>
    <n v="0.1"/>
    <n v="369900"/>
    <n v="3329100"/>
    <n v="447740.62198996433"/>
    <n v="4029665.5979096792"/>
    <n v="330665.59790967917"/>
  </r>
  <r>
    <s v="Oppo F11"/>
    <n v="3299000"/>
    <n v="9"/>
    <n v="0.36"/>
    <n v="0.1"/>
    <n v="329900"/>
    <n v="2969100"/>
    <n v="399323.14461878676"/>
    <n v="3593908.3015690809"/>
    <n v="294908.30156908091"/>
  </r>
  <r>
    <s v="Oppo F11 Pro"/>
    <n v="3699000"/>
    <n v="9"/>
    <n v="0.36"/>
    <n v="0.1"/>
    <n v="369900"/>
    <n v="3329100"/>
    <n v="447740.62198996433"/>
    <n v="4029665.5979096792"/>
    <n v="330665.59790967917"/>
  </r>
  <r>
    <s v="Oppo F3"/>
    <n v="1700000"/>
    <n v="9"/>
    <n v="0.36"/>
    <n v="0.1"/>
    <n v="170000"/>
    <n v="1530000"/>
    <n v="205774.27882750455"/>
    <n v="1851968.5094475409"/>
    <n v="151968.50944754086"/>
  </r>
  <r>
    <s v="Oppo F3 Plus"/>
    <n v="1750000"/>
    <n v="9"/>
    <n v="0.36"/>
    <n v="0.1"/>
    <n v="175000"/>
    <n v="1575000"/>
    <n v="211826.46349890172"/>
    <n v="1906438.1714901156"/>
    <n v="156438.17149011558"/>
  </r>
  <r>
    <s v="Oppo F5 4/32"/>
    <n v="1350000"/>
    <n v="9"/>
    <n v="0.36"/>
    <n v="0.1"/>
    <n v="135000"/>
    <n v="1215000"/>
    <n v="163408.9861277242"/>
    <n v="1470680.8751495178"/>
    <n v="120680.87514951779"/>
  </r>
  <r>
    <s v="Oppo F5 6/64"/>
    <n v="1999000"/>
    <n v="9"/>
    <n v="0.36"/>
    <n v="0.1"/>
    <n v="199900"/>
    <n v="1799100"/>
    <n v="241966.34316245979"/>
    <n v="2177697.0884621381"/>
    <n v="178697.08846213808"/>
  </r>
  <r>
    <s v="Oppo F5 Youth"/>
    <n v="1699000"/>
    <n v="9"/>
    <n v="0.36"/>
    <n v="0.1"/>
    <n v="169900"/>
    <n v="1529100"/>
    <n v="205653.23513407659"/>
    <n v="1850879.1162066893"/>
    <n v="151879.11620668927"/>
  </r>
  <r>
    <s v="Oppo F7 4/64"/>
    <n v="2350000"/>
    <n v="9"/>
    <n v="0.36"/>
    <n v="0.1"/>
    <n v="235000"/>
    <n v="2115000"/>
    <n v="284452.67955566803"/>
    <n v="2560074.1160010123"/>
    <n v="210074.11600101227"/>
  </r>
  <r>
    <s v="Oppo F7 6/128"/>
    <n v="3299000"/>
    <n v="9"/>
    <n v="0.36"/>
    <n v="0.1"/>
    <n v="329900"/>
    <n v="2969100"/>
    <n v="399323.14461878676"/>
    <n v="3593908.3015690809"/>
    <n v="294908.30156908091"/>
  </r>
  <r>
    <s v="Oppo F7 Youth"/>
    <n v="2249000"/>
    <n v="9"/>
    <n v="0.36"/>
    <n v="0.1"/>
    <n v="224900"/>
    <n v="2024100"/>
    <n v="272227.26651944569"/>
    <n v="2450045.3986750115"/>
    <n v="201045.39867501147"/>
  </r>
  <r>
    <s v="Oppo F9 4/64"/>
    <n v="2699000"/>
    <n v="9"/>
    <n v="0.36"/>
    <n v="0.1"/>
    <n v="269900"/>
    <n v="2429100"/>
    <n v="326696.92856202042"/>
    <n v="2940272.3570581838"/>
    <n v="241272.35705818376"/>
  </r>
  <r>
    <s v="Oppo F9 6/64"/>
    <n v="3299000"/>
    <n v="9"/>
    <n v="0.36"/>
    <n v="0.1"/>
    <n v="329900"/>
    <n v="2969100"/>
    <n v="399323.14461878676"/>
    <n v="3593908.3015690809"/>
    <n v="294908.30156908091"/>
  </r>
  <r>
    <s v="Oppo Find X 8/128"/>
    <n v="9999000"/>
    <n v="9"/>
    <n v="0.36"/>
    <n v="0.1"/>
    <n v="999900"/>
    <n v="8999100"/>
    <n v="1210315.8905860106"/>
    <n v="10892843.015274096"/>
    <n v="893843.01527409628"/>
  </r>
  <r>
    <s v="Oppo Find X 8/256"/>
    <n v="10299000"/>
    <n v="9"/>
    <n v="0.36"/>
    <n v="0.1"/>
    <n v="1029900"/>
    <n v="9269100"/>
    <n v="1246628.9986143936"/>
    <n v="11219660.987529542"/>
    <n v="920660.9875295423"/>
  </r>
  <r>
    <s v="Oppo K3"/>
    <n v="3999000"/>
    <n v="9"/>
    <n v="0.36"/>
    <n v="0.1"/>
    <n v="399900"/>
    <n v="3599100"/>
    <n v="484053.73001834744"/>
    <n v="4356483.5701651266"/>
    <n v="357483.57016512658"/>
  </r>
  <r>
    <s v="Oppo R17"/>
    <n v="5999000"/>
    <n v="9"/>
    <n v="0.36"/>
    <n v="0.1"/>
    <n v="599900"/>
    <n v="5399100"/>
    <n v="726141.1168742351"/>
    <n v="6535270.0518681156"/>
    <n v="536270.0518681155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7999000"/>
    <n v="12"/>
    <n v="0.4"/>
    <n v="0.1"/>
    <n v="799900"/>
    <n v="7199100"/>
    <n v="737702.45226973225"/>
    <n v="8852429.427236788"/>
    <n v="853429.42723678797"/>
  </r>
  <r>
    <x v="1"/>
    <n v="7999000"/>
    <n v="12"/>
    <n v="0.4"/>
    <n v="0.1"/>
    <n v="799900"/>
    <n v="7199100"/>
    <n v="737702.45226973225"/>
    <n v="8852429.427236788"/>
    <n v="853429.42723678797"/>
  </r>
  <r>
    <x v="2"/>
    <n v="4999000"/>
    <n v="12"/>
    <n v="0.4"/>
    <n v="0.1"/>
    <n v="499900"/>
    <n v="4499100"/>
    <n v="461029.4485431168"/>
    <n v="5532353.3825174011"/>
    <n v="533353.38251740113"/>
  </r>
  <r>
    <x v="3"/>
    <n v="6299000"/>
    <n v="12"/>
    <n v="0.4"/>
    <n v="0.1"/>
    <n v="629900"/>
    <n v="5669100"/>
    <n v="580921.08349131676"/>
    <n v="6971053.0018958012"/>
    <n v="672053.00189580116"/>
  </r>
  <r>
    <x v="4"/>
    <n v="8999000"/>
    <n v="12"/>
    <n v="0.4"/>
    <n v="0.1"/>
    <n v="899900"/>
    <n v="8099100"/>
    <n v="829926.78684527066"/>
    <n v="9959121.4421432484"/>
    <n v="960121.44214324839"/>
  </r>
  <r>
    <x v="5"/>
    <n v="9999000"/>
    <n v="12"/>
    <n v="0.4"/>
    <n v="0.1"/>
    <n v="999900"/>
    <n v="8999100"/>
    <n v="922151.12142080907"/>
    <n v="11065813.457049709"/>
    <n v="1066813.4570497088"/>
  </r>
  <r>
    <x v="6"/>
    <n v="1599000"/>
    <n v="12"/>
    <n v="0.4"/>
    <n v="0.1"/>
    <n v="159900"/>
    <n v="1439100"/>
    <n v="147466.71098628602"/>
    <n v="1769600.5318354322"/>
    <n v="170600.53183543216"/>
  </r>
  <r>
    <x v="7"/>
    <n v="1540000"/>
    <n v="12"/>
    <n v="0.4"/>
    <n v="0.1"/>
    <n v="154000"/>
    <n v="1386000"/>
    <n v="142025.47524632924"/>
    <n v="1704305.702955951"/>
    <n v="164305.70295595098"/>
  </r>
  <r>
    <x v="8"/>
    <n v="2149900"/>
    <n v="12"/>
    <n v="0.4"/>
    <n v="0.1"/>
    <n v="214990"/>
    <n v="1934910"/>
    <n v="198273.09690395015"/>
    <n v="2379277.1628474016"/>
    <n v="229377.16284740157"/>
  </r>
  <r>
    <x v="9"/>
    <n v="1850000"/>
    <n v="12"/>
    <n v="0.4"/>
    <n v="0.1"/>
    <n v="185000"/>
    <n v="1665000"/>
    <n v="170615.01896474615"/>
    <n v="2047380.2275769538"/>
    <n v="197380.22757695382"/>
  </r>
  <r>
    <x v="10"/>
    <n v="1699000"/>
    <n v="12"/>
    <n v="0.4"/>
    <n v="0.1"/>
    <n v="169900"/>
    <n v="1529100"/>
    <n v="156689.14444383985"/>
    <n v="1880269.7333260782"/>
    <n v="181269.73332607816"/>
  </r>
  <r>
    <x v="11"/>
    <n v="2250000"/>
    <n v="12"/>
    <n v="0.4"/>
    <n v="0.1"/>
    <n v="225000"/>
    <n v="2025000"/>
    <n v="207504.75279496156"/>
    <n v="2490057.0335395387"/>
    <n v="240057.03353953874"/>
  </r>
  <r>
    <x v="12"/>
    <n v="1599000"/>
    <n v="12"/>
    <n v="0.4"/>
    <n v="0.1"/>
    <n v="159900"/>
    <n v="1439100"/>
    <n v="147466.71098628602"/>
    <n v="1769600.5318354322"/>
    <n v="170600.53183543216"/>
  </r>
  <r>
    <x v="13"/>
    <n v="1799000"/>
    <n v="12"/>
    <n v="0.4"/>
    <n v="0.1"/>
    <n v="179900"/>
    <n v="1619100"/>
    <n v="165911.5779013937"/>
    <n v="1990938.9348167244"/>
    <n v="191938.93481672439"/>
  </r>
  <r>
    <x v="14"/>
    <n v="2099000"/>
    <n v="12"/>
    <n v="0.4"/>
    <n v="0.1"/>
    <n v="209900"/>
    <n v="1889100"/>
    <n v="193578.87827405526"/>
    <n v="2322946.5392886633"/>
    <n v="223946.53928866331"/>
  </r>
  <r>
    <x v="15"/>
    <n v="3699000"/>
    <n v="12"/>
    <n v="0.4"/>
    <n v="0.1"/>
    <n v="369900"/>
    <n v="3329100"/>
    <n v="341137.81359491678"/>
    <n v="4093653.7631390011"/>
    <n v="394653.76313900109"/>
  </r>
  <r>
    <x v="16"/>
    <n v="3299000"/>
    <n v="12"/>
    <n v="0.4"/>
    <n v="0.1"/>
    <n v="329900"/>
    <n v="2969100"/>
    <n v="304248.07976470143"/>
    <n v="3650976.9571764171"/>
    <n v="351976.95717641711"/>
  </r>
  <r>
    <x v="17"/>
    <n v="3699000"/>
    <n v="12"/>
    <n v="0.4"/>
    <n v="0.1"/>
    <n v="369900"/>
    <n v="3329100"/>
    <n v="341137.81359491678"/>
    <n v="4093653.7631390011"/>
    <n v="394653.76313900109"/>
  </r>
  <r>
    <x v="18"/>
    <n v="1700000"/>
    <n v="12"/>
    <n v="0.4"/>
    <n v="0.1"/>
    <n v="170000"/>
    <n v="1530000"/>
    <n v="156781.3687784154"/>
    <n v="1881376.4253409849"/>
    <n v="181376.42534098495"/>
  </r>
  <r>
    <x v="19"/>
    <n v="1750000"/>
    <n v="12"/>
    <n v="0.4"/>
    <n v="0.1"/>
    <n v="175000"/>
    <n v="1575000"/>
    <n v="161392.5855071923"/>
    <n v="1936711.0260863076"/>
    <n v="186711.0260863076"/>
  </r>
  <r>
    <x v="20"/>
    <n v="1350000"/>
    <n v="12"/>
    <n v="0.4"/>
    <n v="0.1"/>
    <n v="135000"/>
    <n v="1215000"/>
    <n v="124502.85167697693"/>
    <n v="1494034.2201237231"/>
    <n v="144034.22012372315"/>
  </r>
  <r>
    <x v="21"/>
    <n v="1999000"/>
    <n v="12"/>
    <n v="0.4"/>
    <n v="0.1"/>
    <n v="199900"/>
    <n v="1799100"/>
    <n v="184356.4448165014"/>
    <n v="2212277.3377980171"/>
    <n v="213277.33779801708"/>
  </r>
  <r>
    <x v="22"/>
    <n v="1699000"/>
    <n v="12"/>
    <n v="0.4"/>
    <n v="0.1"/>
    <n v="169900"/>
    <n v="1529100"/>
    <n v="156689.14444383985"/>
    <n v="1880269.7333260782"/>
    <n v="181269.73332607816"/>
  </r>
  <r>
    <x v="23"/>
    <n v="2350000"/>
    <n v="12"/>
    <n v="0.4"/>
    <n v="0.1"/>
    <n v="235000"/>
    <n v="2115000"/>
    <n v="216727.18625251538"/>
    <n v="2600726.2350301845"/>
    <n v="250726.2350301845"/>
  </r>
  <r>
    <x v="24"/>
    <n v="3299000"/>
    <n v="12"/>
    <n v="0.4"/>
    <n v="0.1"/>
    <n v="329900"/>
    <n v="2969100"/>
    <n v="304248.07976470143"/>
    <n v="3650976.9571764171"/>
    <n v="351976.95717641711"/>
  </r>
  <r>
    <x v="25"/>
    <n v="2249000"/>
    <n v="12"/>
    <n v="0.4"/>
    <n v="0.1"/>
    <n v="224900"/>
    <n v="2024100"/>
    <n v="207412.52846038603"/>
    <n v="2488950.3415246326"/>
    <n v="239950.34152463265"/>
  </r>
  <r>
    <x v="26"/>
    <n v="2699000"/>
    <n v="12"/>
    <n v="0.4"/>
    <n v="0.1"/>
    <n v="269900"/>
    <n v="2429100"/>
    <n v="248913.47901937834"/>
    <n v="2986961.7482325402"/>
    <n v="287961.74823254021"/>
  </r>
  <r>
    <x v="27"/>
    <n v="3299000"/>
    <n v="12"/>
    <n v="0.4"/>
    <n v="0.1"/>
    <n v="329900"/>
    <n v="2969100"/>
    <n v="304248.07976470143"/>
    <n v="3650976.9571764171"/>
    <n v="351976.95717641711"/>
  </r>
  <r>
    <x v="28"/>
    <n v="9999000"/>
    <n v="12"/>
    <n v="0.4"/>
    <n v="0.1"/>
    <n v="999900"/>
    <n v="8999100"/>
    <n v="922151.12142080907"/>
    <n v="11065813.457049709"/>
    <n v="1066813.4570497088"/>
  </r>
  <r>
    <x v="29"/>
    <n v="10299000"/>
    <n v="12"/>
    <n v="0.4"/>
    <n v="0.1"/>
    <n v="1029900"/>
    <n v="9269100"/>
    <n v="949818.42179347062"/>
    <n v="11397821.061521647"/>
    <n v="1098821.0615216475"/>
  </r>
  <r>
    <x v="30"/>
    <n v="3999000"/>
    <n v="12"/>
    <n v="0.4"/>
    <n v="0.1"/>
    <n v="399900"/>
    <n v="3599100"/>
    <n v="368805.11396757833"/>
    <n v="4425661.3676109398"/>
    <n v="426661.36761093978"/>
  </r>
  <r>
    <x v="31"/>
    <n v="5999000"/>
    <n v="12"/>
    <n v="0.4"/>
    <n v="0.1"/>
    <n v="599900"/>
    <n v="5399100"/>
    <n v="553253.78311865532"/>
    <n v="6639045.3974238634"/>
    <n v="640045.3974238634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Rifky"/>
    <x v="0"/>
    <s v="Oppo A1k"/>
    <n v="2"/>
    <n v="1599000"/>
    <n v="3198000"/>
    <n v="12"/>
    <n v="0.4"/>
    <n v="0.1"/>
    <n v="159900"/>
    <n v="319800"/>
    <n v="2878200"/>
    <n v="294933.42197257205"/>
    <n v="3539201.0636708643"/>
    <n v="341201.06367086433"/>
  </r>
  <r>
    <s v="Adam"/>
    <x v="1"/>
    <s v="Oppo A71"/>
    <n v="5"/>
    <n v="1599000"/>
    <n v="7995000"/>
    <n v="12"/>
    <n v="0.4"/>
    <n v="0.1"/>
    <n v="159900"/>
    <n v="799500"/>
    <n v="7195500"/>
    <n v="737333.55493143003"/>
    <n v="8848002.6591771599"/>
    <n v="853002.65917715989"/>
  </r>
  <r>
    <s v="Raihan"/>
    <x v="2"/>
    <s v="Oppo Reno 6/256"/>
    <n v="1"/>
    <n v="7999000"/>
    <n v="7999000"/>
    <n v="12"/>
    <n v="0.4"/>
    <n v="0.1"/>
    <n v="799900"/>
    <n v="799900"/>
    <n v="7199100"/>
    <n v="737702.45226973225"/>
    <n v="8852429.427236788"/>
    <n v="853429.42723678797"/>
  </r>
  <r>
    <s v="Dewi"/>
    <x v="3"/>
    <s v="Oppo Find X 8/128"/>
    <n v="3"/>
    <n v="9999000"/>
    <n v="29997000"/>
    <n v="12"/>
    <n v="0.4"/>
    <n v="0.1"/>
    <n v="999900"/>
    <n v="2999700"/>
    <n v="26997300"/>
    <n v="2766453.3642624272"/>
    <n v="33197440.371149126"/>
    <n v="3200440.3711491264"/>
  </r>
  <r>
    <s v="Ica"/>
    <x v="4"/>
    <s v="Oppo R17"/>
    <n v="3"/>
    <n v="5999000"/>
    <n v="17997000"/>
    <n v="12"/>
    <n v="0.4"/>
    <n v="0.1"/>
    <n v="599900"/>
    <n v="1799700"/>
    <n v="16197300"/>
    <n v="1659761.3493559659"/>
    <n v="19917136.19227159"/>
    <n v="1920136.1922715902"/>
  </r>
  <r>
    <s v="Anca"/>
    <x v="5"/>
    <s v="Oppo Reno 10X Zoom 12/256"/>
    <n v="4"/>
    <n v="9999000"/>
    <n v="39996000"/>
    <n v="12"/>
    <n v="0.4"/>
    <n v="0.1"/>
    <n v="999900"/>
    <n v="3999600"/>
    <n v="35996400"/>
    <n v="3688604.4856832363"/>
    <n v="44263253.828198835"/>
    <n v="4267253.8281988353"/>
  </r>
  <r>
    <s v="Hafid"/>
    <x v="6"/>
    <s v="Oppo K3"/>
    <n v="10"/>
    <n v="3999000"/>
    <n v="39990000"/>
    <n v="12"/>
    <n v="0.4"/>
    <n v="0.1"/>
    <n v="399900"/>
    <n v="3999000"/>
    <n v="35991000"/>
    <n v="3688051.1396757835"/>
    <n v="44256613.676109403"/>
    <n v="4266613.6761094034"/>
  </r>
  <r>
    <s v="Anwar"/>
    <x v="7"/>
    <s v="Oppo F5 4/32"/>
    <n v="8"/>
    <n v="1350000"/>
    <n v="10800000"/>
    <n v="12"/>
    <n v="0.4"/>
    <n v="0.1"/>
    <n v="135000"/>
    <n v="1080000"/>
    <n v="9720000"/>
    <n v="996022.81341581547"/>
    <n v="11952273.760989785"/>
    <n v="1152273.7609897852"/>
  </r>
  <r>
    <s v="Boleng"/>
    <x v="8"/>
    <s v="Oppo Find X 8/128"/>
    <n v="7"/>
    <n v="9999000"/>
    <n v="69993000"/>
    <n v="12"/>
    <n v="0.4"/>
    <n v="0.1"/>
    <n v="999900"/>
    <n v="6999300"/>
    <n v="62993700"/>
    <n v="6455057.8499456644"/>
    <n v="77460694.199347973"/>
    <n v="7467694.1993479729"/>
  </r>
  <r>
    <s v="Putra"/>
    <x v="9"/>
    <s v="Oppo F5 Youth"/>
    <n v="2"/>
    <n v="1699000"/>
    <n v="3398000"/>
    <n v="12"/>
    <n v="0.4"/>
    <n v="0.1"/>
    <n v="169900"/>
    <n v="339800"/>
    <n v="3058200"/>
    <n v="313378.28888767969"/>
    <n v="3760539.4666521563"/>
    <n v="362539.46665215632"/>
  </r>
  <r>
    <s v="Sofyan"/>
    <x v="10"/>
    <s v="Oppo A5(2020"/>
    <n v="6"/>
    <n v="2149900"/>
    <n v="12899400"/>
    <n v="12"/>
    <n v="0.4"/>
    <n v="0.1"/>
    <n v="214990"/>
    <n v="1289940"/>
    <n v="11609460"/>
    <n v="1189638.5814237008"/>
    <n v="14275662.977084409"/>
    <n v="1376262.9770844094"/>
  </r>
  <r>
    <s v="Riri"/>
    <x v="11"/>
    <s v="Oppo Reno2 F"/>
    <n v="4"/>
    <n v="4999000"/>
    <n v="19996000"/>
    <n v="12"/>
    <n v="0.4"/>
    <n v="0.1"/>
    <n v="499900"/>
    <n v="1999600"/>
    <n v="17996400"/>
    <n v="1844117.7941724672"/>
    <n v="22129413.530069605"/>
    <n v="2133413.5300696045"/>
  </r>
  <r>
    <s v="Agus"/>
    <x v="12"/>
    <s v="Oppo A9(2020"/>
    <n v="3"/>
    <n v="3699000"/>
    <n v="11097000"/>
    <n v="12"/>
    <n v="0.4"/>
    <n v="0.1"/>
    <n v="369900"/>
    <n v="1109700"/>
    <n v="9987300"/>
    <n v="1023413.4407847504"/>
    <n v="12280961.289417004"/>
    <n v="1183961.2894170042"/>
  </r>
  <r>
    <s v="Permata"/>
    <x v="13"/>
    <s v="Oppo F7 6/128"/>
    <n v="8"/>
    <n v="3299000"/>
    <n v="26392000"/>
    <n v="12"/>
    <n v="0.4"/>
    <n v="0.1"/>
    <n v="329900"/>
    <n v="2639200"/>
    <n v="23752800"/>
    <n v="2433984.6381176114"/>
    <n v="29207815.657411337"/>
    <n v="2815815.6574113369"/>
  </r>
  <r>
    <s v="Alex"/>
    <x v="14"/>
    <s v="Oppo A83 3/32"/>
    <n v="9"/>
    <n v="2099000"/>
    <n v="18891000"/>
    <n v="12"/>
    <n v="0.4"/>
    <n v="0.1"/>
    <n v="209900"/>
    <n v="1889100"/>
    <n v="17001900"/>
    <n v="1742209.904466497"/>
    <n v="20906518.853597965"/>
    <n v="2015518.8535979651"/>
  </r>
  <r>
    <s v="Jhon"/>
    <x v="15"/>
    <s v="Oppo Reno Z"/>
    <n v="5"/>
    <n v="6299000"/>
    <n v="31495000"/>
    <n v="12"/>
    <n v="0.4"/>
    <n v="0.1"/>
    <n v="629900"/>
    <n v="3149500"/>
    <n v="28345500"/>
    <n v="2904605.4174565841"/>
    <n v="34855265.009479009"/>
    <n v="3360265.009479008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7999000"/>
    <n v="200"/>
    <x v="0"/>
    <x v="0"/>
    <x v="0"/>
  </r>
  <r>
    <x v="1"/>
    <n v="7999000"/>
    <n v="200"/>
    <x v="0"/>
    <x v="1"/>
    <x v="1"/>
  </r>
  <r>
    <x v="2"/>
    <n v="4999000"/>
    <n v="200"/>
    <x v="0"/>
    <x v="2"/>
    <x v="2"/>
  </r>
  <r>
    <x v="3"/>
    <n v="6299000"/>
    <n v="200"/>
    <x v="0"/>
    <x v="3"/>
    <x v="3"/>
  </r>
  <r>
    <x v="4"/>
    <n v="8999000"/>
    <n v="200"/>
    <x v="0"/>
    <x v="0"/>
    <x v="4"/>
  </r>
  <r>
    <x v="5"/>
    <n v="9999000"/>
    <n v="200"/>
    <x v="0"/>
    <x v="1"/>
    <x v="5"/>
  </r>
  <r>
    <x v="6"/>
    <n v="1599000"/>
    <n v="200"/>
    <x v="1"/>
    <x v="4"/>
    <x v="6"/>
  </r>
  <r>
    <x v="7"/>
    <n v="1540000"/>
    <n v="200"/>
    <x v="1"/>
    <x v="5"/>
    <x v="7"/>
  </r>
  <r>
    <x v="8"/>
    <n v="2149900"/>
    <n v="200"/>
    <x v="1"/>
    <x v="6"/>
    <x v="8"/>
  </r>
  <r>
    <x v="9"/>
    <n v="1850000"/>
    <n v="200"/>
    <x v="1"/>
    <x v="7"/>
    <x v="9"/>
  </r>
  <r>
    <x v="10"/>
    <n v="1699000"/>
    <n v="200"/>
    <x v="1"/>
    <x v="8"/>
    <x v="10"/>
  </r>
  <r>
    <x v="11"/>
    <n v="2250000"/>
    <n v="200"/>
    <x v="1"/>
    <x v="9"/>
    <x v="11"/>
  </r>
  <r>
    <x v="12"/>
    <n v="1599000"/>
    <n v="200"/>
    <x v="1"/>
    <x v="6"/>
    <x v="12"/>
  </r>
  <r>
    <x v="13"/>
    <n v="1799000"/>
    <n v="200"/>
    <x v="1"/>
    <x v="10"/>
    <x v="13"/>
  </r>
  <r>
    <x v="14"/>
    <n v="2099000"/>
    <n v="200"/>
    <x v="1"/>
    <x v="11"/>
    <x v="14"/>
  </r>
  <r>
    <x v="15"/>
    <n v="3699000"/>
    <n v="200"/>
    <x v="1"/>
    <x v="12"/>
    <x v="15"/>
  </r>
  <r>
    <x v="16"/>
    <n v="3299000"/>
    <n v="200"/>
    <x v="2"/>
    <x v="13"/>
    <x v="16"/>
  </r>
  <r>
    <x v="17"/>
    <n v="3699000"/>
    <n v="200"/>
    <x v="2"/>
    <x v="14"/>
    <x v="17"/>
  </r>
  <r>
    <x v="18"/>
    <n v="1700000"/>
    <n v="200"/>
    <x v="2"/>
    <x v="15"/>
    <x v="18"/>
  </r>
  <r>
    <x v="19"/>
    <n v="1750000"/>
    <n v="200"/>
    <x v="2"/>
    <x v="16"/>
    <x v="19"/>
  </r>
  <r>
    <x v="20"/>
    <n v="1350000"/>
    <n v="200"/>
    <x v="2"/>
    <x v="17"/>
    <x v="20"/>
  </r>
  <r>
    <x v="21"/>
    <n v="1999000"/>
    <n v="200"/>
    <x v="2"/>
    <x v="18"/>
    <x v="21"/>
  </r>
  <r>
    <x v="22"/>
    <n v="1699000"/>
    <n v="200"/>
    <x v="2"/>
    <x v="19"/>
    <x v="22"/>
  </r>
  <r>
    <x v="23"/>
    <n v="2350000"/>
    <n v="200"/>
    <x v="2"/>
    <x v="1"/>
    <x v="23"/>
  </r>
  <r>
    <x v="24"/>
    <n v="3299000"/>
    <n v="200"/>
    <x v="2"/>
    <x v="20"/>
    <x v="24"/>
  </r>
  <r>
    <x v="25"/>
    <n v="2249000"/>
    <n v="200"/>
    <x v="2"/>
    <x v="18"/>
    <x v="25"/>
  </r>
  <r>
    <x v="26"/>
    <n v="2699000"/>
    <n v="200"/>
    <x v="2"/>
    <x v="6"/>
    <x v="26"/>
  </r>
  <r>
    <x v="27"/>
    <n v="3299000"/>
    <n v="200"/>
    <x v="2"/>
    <x v="1"/>
    <x v="27"/>
  </r>
  <r>
    <x v="28"/>
    <n v="9999000"/>
    <n v="200"/>
    <x v="3"/>
    <x v="1"/>
    <x v="28"/>
  </r>
  <r>
    <x v="29"/>
    <n v="10299000"/>
    <n v="200"/>
    <x v="3"/>
    <x v="17"/>
    <x v="29"/>
  </r>
  <r>
    <x v="30"/>
    <n v="3999000"/>
    <n v="200"/>
    <x v="4"/>
    <x v="21"/>
    <x v="30"/>
  </r>
  <r>
    <x v="31"/>
    <n v="5999000"/>
    <n v="200"/>
    <x v="5"/>
    <x v="6"/>
    <x v="3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189"/>
    <n v="200"/>
    <n v="11"/>
    <n v="7999000"/>
    <n v="1511811000"/>
    <n v="1511811000"/>
    <n v="87989000"/>
    <n v="1423822000"/>
  </r>
  <r>
    <x v="1"/>
    <x v="1"/>
    <n v="66"/>
    <n v="200"/>
    <n v="134"/>
    <n v="7999000"/>
    <n v="527934000"/>
    <n v="527934000"/>
    <n v="1071866000"/>
    <n v="-543932000"/>
  </r>
  <r>
    <x v="2"/>
    <x v="2"/>
    <n v="124"/>
    <n v="200"/>
    <n v="76"/>
    <n v="4999000"/>
    <n v="619876000"/>
    <n v="619876000"/>
    <n v="379924000"/>
    <n v="239952000"/>
  </r>
  <r>
    <x v="3"/>
    <x v="3"/>
    <n v="124"/>
    <n v="200"/>
    <n v="76"/>
    <n v="6299000"/>
    <n v="781076000"/>
    <n v="781076000"/>
    <n v="478724000"/>
    <n v="302352000"/>
  </r>
  <r>
    <x v="4"/>
    <x v="4"/>
    <n v="115"/>
    <n v="200"/>
    <n v="85"/>
    <n v="8999000"/>
    <n v="1034885000"/>
    <n v="1034885000"/>
    <n v="764915000"/>
    <n v="269970000"/>
  </r>
  <r>
    <x v="5"/>
    <x v="5"/>
    <n v="18"/>
    <n v="200"/>
    <n v="182"/>
    <n v="9999000"/>
    <n v="179982000"/>
    <n v="179982000"/>
    <n v="1819818000"/>
    <n v="-1639836000"/>
  </r>
  <r>
    <x v="6"/>
    <x v="6"/>
    <n v="94"/>
    <n v="200"/>
    <n v="106"/>
    <n v="1599000"/>
    <n v="150306000"/>
    <n v="150306000"/>
    <n v="169494000"/>
    <n v="-19188000"/>
  </r>
  <r>
    <x v="7"/>
    <x v="7"/>
    <n v="67"/>
    <n v="200"/>
    <n v="133"/>
    <n v="1540000"/>
    <n v="103180000"/>
    <n v="103180000"/>
    <n v="204820000"/>
    <n v="-101640000"/>
  </r>
  <r>
    <x v="8"/>
    <x v="8"/>
    <n v="176"/>
    <n v="200"/>
    <n v="24"/>
    <n v="2149900"/>
    <n v="378382400"/>
    <n v="378382400"/>
    <n v="51597600"/>
    <n v="326784800"/>
  </r>
  <r>
    <x v="9"/>
    <x v="9"/>
    <n v="149"/>
    <n v="200"/>
    <n v="51"/>
    <n v="1850000"/>
    <n v="275650000"/>
    <n v="275650000"/>
    <n v="94350000"/>
    <n v="181300000"/>
  </r>
  <r>
    <x v="10"/>
    <x v="10"/>
    <n v="158"/>
    <n v="200"/>
    <n v="42"/>
    <n v="1699000"/>
    <n v="268442000"/>
    <n v="268442000"/>
    <n v="71358000"/>
    <n v="197084000"/>
  </r>
  <r>
    <x v="11"/>
    <x v="11"/>
    <n v="125"/>
    <n v="200"/>
    <n v="75"/>
    <n v="2250000"/>
    <n v="281250000"/>
    <n v="281250000"/>
    <n v="168750000"/>
    <n v="112500000"/>
  </r>
  <r>
    <x v="12"/>
    <x v="12"/>
    <n v="157"/>
    <n v="200"/>
    <n v="43"/>
    <n v="1599000"/>
    <n v="251043000"/>
    <n v="251043000"/>
    <n v="68757000"/>
    <n v="182286000"/>
  </r>
  <r>
    <x v="13"/>
    <x v="13"/>
    <n v="67"/>
    <n v="200"/>
    <n v="133"/>
    <n v="1799000"/>
    <n v="120533000"/>
    <n v="120533000"/>
    <n v="239267000"/>
    <n v="-118734000"/>
  </r>
  <r>
    <x v="14"/>
    <x v="14"/>
    <n v="75"/>
    <n v="200"/>
    <n v="125"/>
    <n v="2099000"/>
    <n v="157425000"/>
    <n v="157425000"/>
    <n v="262375000"/>
    <n v="-104950000"/>
  </r>
  <r>
    <x v="15"/>
    <x v="15"/>
    <n v="172"/>
    <n v="200"/>
    <n v="28"/>
    <n v="3699000"/>
    <n v="636228000"/>
    <n v="636228000"/>
    <n v="103572000"/>
    <n v="532656000"/>
  </r>
  <r>
    <x v="16"/>
    <x v="16"/>
    <n v="88"/>
    <n v="200"/>
    <n v="112"/>
    <n v="3299000"/>
    <n v="290312000"/>
    <n v="290312000"/>
    <n v="369488000"/>
    <n v="-79176000"/>
  </r>
  <r>
    <x v="17"/>
    <x v="17"/>
    <n v="92"/>
    <n v="200"/>
    <n v="108"/>
    <n v="3699000"/>
    <n v="340308000"/>
    <n v="340308000"/>
    <n v="399492000"/>
    <n v="-59184000"/>
  </r>
  <r>
    <x v="18"/>
    <x v="18"/>
    <n v="149"/>
    <n v="200"/>
    <n v="51"/>
    <n v="1700000"/>
    <n v="253300000"/>
    <n v="253300000"/>
    <n v="86700000"/>
    <n v="166600000"/>
  </r>
  <r>
    <x v="19"/>
    <x v="19"/>
    <n v="144"/>
    <n v="200"/>
    <n v="56"/>
    <n v="1750000"/>
    <n v="252000000"/>
    <n v="252000000"/>
    <n v="98000000"/>
    <n v="154000000"/>
  </r>
  <r>
    <x v="20"/>
    <x v="20"/>
    <n v="111"/>
    <n v="200"/>
    <n v="89"/>
    <n v="1350000"/>
    <n v="149850000"/>
    <n v="149850000"/>
    <n v="120150000"/>
    <n v="29700000"/>
  </r>
  <r>
    <x v="21"/>
    <x v="21"/>
    <n v="149"/>
    <n v="200"/>
    <n v="51"/>
    <n v="1999000"/>
    <n v="297851000"/>
    <n v="297851000"/>
    <n v="101949000"/>
    <n v="195902000"/>
  </r>
  <r>
    <x v="22"/>
    <x v="22"/>
    <n v="140"/>
    <n v="200"/>
    <n v="60"/>
    <n v="1699000"/>
    <n v="237860000"/>
    <n v="237860000"/>
    <n v="101940000"/>
    <n v="135920000"/>
  </r>
  <r>
    <x v="23"/>
    <x v="23"/>
    <n v="97"/>
    <n v="200"/>
    <n v="103"/>
    <n v="2350000"/>
    <n v="227950000"/>
    <n v="227950000"/>
    <n v="242050000"/>
    <n v="-14100000"/>
  </r>
  <r>
    <x v="24"/>
    <x v="24"/>
    <n v="148"/>
    <n v="200"/>
    <n v="52"/>
    <n v="3299000"/>
    <n v="488252000"/>
    <n v="488252000"/>
    <n v="171548000"/>
    <n v="316704000"/>
  </r>
  <r>
    <x v="25"/>
    <x v="25"/>
    <n v="167"/>
    <n v="200"/>
    <n v="33"/>
    <n v="2249000"/>
    <n v="375583000"/>
    <n v="375583000"/>
    <n v="74217000"/>
    <n v="301366000"/>
  </r>
  <r>
    <x v="26"/>
    <x v="26"/>
    <n v="113"/>
    <n v="200"/>
    <n v="87"/>
    <n v="2699000"/>
    <n v="304987000"/>
    <n v="304987000"/>
    <n v="234813000"/>
    <n v="70174000"/>
  </r>
  <r>
    <x v="27"/>
    <x v="27"/>
    <n v="76"/>
    <n v="200"/>
    <n v="124"/>
    <n v="3299000"/>
    <n v="250724000"/>
    <n v="250724000"/>
    <n v="409076000"/>
    <n v="-158352000"/>
  </r>
  <r>
    <x v="28"/>
    <x v="28"/>
    <n v="49"/>
    <n v="200"/>
    <n v="151"/>
    <n v="9999000"/>
    <n v="489951000"/>
    <n v="489951000"/>
    <n v="1509849000"/>
    <n v="-1019898000"/>
  </r>
  <r>
    <x v="29"/>
    <x v="29"/>
    <n v="55"/>
    <n v="200"/>
    <n v="145"/>
    <n v="10299000"/>
    <n v="566445000"/>
    <n v="566445000"/>
    <n v="1493355000"/>
    <n v="-926910000"/>
  </r>
  <r>
    <x v="30"/>
    <x v="30"/>
    <n v="185"/>
    <n v="200"/>
    <n v="15"/>
    <n v="3999000"/>
    <n v="739815000"/>
    <n v="739815000"/>
    <n v="59985000"/>
    <n v="679830000"/>
  </r>
  <r>
    <x v="31"/>
    <x v="31"/>
    <n v="111"/>
    <n v="200"/>
    <n v="89"/>
    <n v="5999000"/>
    <n v="665889000"/>
    <n v="665889000"/>
    <n v="533911000"/>
    <n v="13197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8BF73-41D0-4B57-879A-C6093DB9574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9" firstHeaderRow="1" firstDataRow="1" firstDataCol="1" rowPageCount="2" colPageCount="1"/>
  <pivotFields count="6">
    <pivotField axis="axisRow" showAll="0">
      <items count="33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5"/>
        <item x="4"/>
        <item x="0"/>
        <item x="3"/>
        <item x="1"/>
        <item x="2"/>
        <item t="default"/>
      </items>
    </pivotField>
    <pivotField dataField="1" numFmtId="164" showAll="0"/>
    <pivotField showAll="0"/>
    <pivotField axis="axisPage" showAll="0">
      <items count="7">
        <item x="1"/>
        <item x="2"/>
        <item x="3"/>
        <item x="4"/>
        <item x="5"/>
        <item x="0"/>
        <item t="default"/>
      </items>
    </pivotField>
    <pivotField axis="axisPage" numFmtId="14" showAll="0">
      <items count="23">
        <item x="13"/>
        <item x="20"/>
        <item x="14"/>
        <item x="9"/>
        <item x="11"/>
        <item x="18"/>
        <item x="4"/>
        <item x="8"/>
        <item x="3"/>
        <item x="5"/>
        <item x="19"/>
        <item x="10"/>
        <item x="2"/>
        <item x="21"/>
        <item x="0"/>
        <item x="15"/>
        <item x="16"/>
        <item x="7"/>
        <item x="17"/>
        <item x="1"/>
        <item x="12"/>
        <item x="6"/>
        <item t="default"/>
      </items>
    </pivotField>
    <pivotField axis="axisRow" showAll="0">
      <items count="33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t="default"/>
      </items>
    </pivotField>
  </pivotFields>
  <rowFields count="2">
    <field x="5"/>
    <field x="0"/>
  </rowFields>
  <rowItems count="65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 v="22"/>
    </i>
    <i>
      <x v="23"/>
    </i>
    <i r="1">
      <x v="23"/>
    </i>
    <i>
      <x v="24"/>
    </i>
    <i r="1">
      <x v="24"/>
    </i>
    <i>
      <x v="25"/>
    </i>
    <i r="1">
      <x v="25"/>
    </i>
    <i>
      <x v="26"/>
    </i>
    <i r="1">
      <x v="28"/>
    </i>
    <i>
      <x v="27"/>
    </i>
    <i r="1">
      <x v="30"/>
    </i>
    <i>
      <x v="28"/>
    </i>
    <i r="1">
      <x v="31"/>
    </i>
    <i>
      <x v="29"/>
    </i>
    <i r="1">
      <x v="29"/>
    </i>
    <i>
      <x v="30"/>
    </i>
    <i r="1">
      <x v="27"/>
    </i>
    <i>
      <x v="31"/>
    </i>
    <i r="1">
      <x v="26"/>
    </i>
    <i t="grand">
      <x/>
    </i>
  </rowItems>
  <colItems count="1">
    <i/>
  </colItems>
  <pageFields count="2">
    <pageField fld="4" hier="-1"/>
    <pageField fld="3" hier="-1"/>
  </pageFields>
  <dataFields count="1">
    <dataField name="Sum of Price" fld="1" baseField="0" baseItem="0" numFmtId="42"/>
  </dataFields>
  <formats count="1">
    <format dxfId="1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B4CBC-3356-40E2-8750-71321586CCFB}" name="PivotTable1" cacheId="6" dataOnRows="1" applyNumberFormats="0" applyBorderFormats="0" applyFontFormats="0" applyPatternFormats="0" applyAlignmentFormats="0" applyWidthHeightFormats="1" dataCaption="Values" tag="e9d4ca43-8b62-4180-a56a-61e23f08c21b" updatedVersion="6" minRefreshableVersion="3" useAutoFormatting="1" subtotalHiddenItems="1" itemPrintTitles="1" createdVersion="5" indent="0" outline="1" outlineData="1" multipleFieldFilters="0">
  <location ref="B3:C102" firstHeaderRow="1" firstDataRow="1" firstDataCol="1"/>
  <pivotFields count="6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0"/>
    <field x="2"/>
    <field x="1"/>
    <field x="-2"/>
  </rowFields>
  <rowItems count="99">
    <i>
      <x/>
    </i>
    <i r="1">
      <x/>
    </i>
    <i r="2">
      <x/>
    </i>
    <i r="3">
      <x/>
    </i>
    <i r="3" i="1">
      <x v="1"/>
    </i>
    <i r="3" i="2">
      <x v="2"/>
    </i>
    <i>
      <x v="1"/>
    </i>
    <i r="1">
      <x v="1"/>
    </i>
    <i r="2">
      <x v="1"/>
    </i>
    <i r="3">
      <x/>
    </i>
    <i r="3" i="1">
      <x v="1"/>
    </i>
    <i r="3" i="2">
      <x v="2"/>
    </i>
    <i>
      <x v="2"/>
    </i>
    <i r="1">
      <x v="2"/>
    </i>
    <i r="2">
      <x v="2"/>
    </i>
    <i r="3">
      <x/>
    </i>
    <i r="3" i="1">
      <x v="1"/>
    </i>
    <i r="3" i="2">
      <x v="2"/>
    </i>
    <i>
      <x v="3"/>
    </i>
    <i r="1">
      <x v="3"/>
    </i>
    <i r="2">
      <x v="3"/>
    </i>
    <i r="3">
      <x/>
    </i>
    <i r="3" i="1">
      <x v="1"/>
    </i>
    <i r="3" i="2">
      <x v="2"/>
    </i>
    <i>
      <x v="4"/>
    </i>
    <i r="1">
      <x v="4"/>
    </i>
    <i r="2">
      <x v="4"/>
    </i>
    <i r="3">
      <x/>
    </i>
    <i r="3" i="1">
      <x v="1"/>
    </i>
    <i r="3" i="2">
      <x v="2"/>
    </i>
    <i>
      <x v="5"/>
    </i>
    <i r="1">
      <x v="5"/>
    </i>
    <i r="2">
      <x v="5"/>
    </i>
    <i r="3">
      <x/>
    </i>
    <i r="3" i="1">
      <x v="1"/>
    </i>
    <i r="3" i="2">
      <x v="2"/>
    </i>
    <i>
      <x v="6"/>
    </i>
    <i r="1">
      <x v="6"/>
    </i>
    <i r="2">
      <x v="6"/>
    </i>
    <i r="3">
      <x/>
    </i>
    <i r="3" i="1">
      <x v="1"/>
    </i>
    <i r="3" i="2">
      <x v="2"/>
    </i>
    <i>
      <x v="7"/>
    </i>
    <i r="1">
      <x v="7"/>
    </i>
    <i r="2">
      <x v="2"/>
    </i>
    <i r="3">
      <x/>
    </i>
    <i r="3" i="1">
      <x v="1"/>
    </i>
    <i r="3" i="2">
      <x v="2"/>
    </i>
    <i>
      <x v="8"/>
    </i>
    <i r="1">
      <x v="8"/>
    </i>
    <i r="2">
      <x v="7"/>
    </i>
    <i r="3">
      <x/>
    </i>
    <i r="3" i="1">
      <x v="1"/>
    </i>
    <i r="3" i="2">
      <x v="2"/>
    </i>
    <i>
      <x v="9"/>
    </i>
    <i r="1">
      <x v="9"/>
    </i>
    <i r="2">
      <x v="8"/>
    </i>
    <i r="3">
      <x/>
    </i>
    <i r="3" i="1">
      <x v="1"/>
    </i>
    <i r="3" i="2">
      <x v="2"/>
    </i>
    <i>
      <x v="10"/>
    </i>
    <i r="1">
      <x v="10"/>
    </i>
    <i r="2">
      <x v="9"/>
    </i>
    <i r="3">
      <x/>
    </i>
    <i r="3" i="1">
      <x v="1"/>
    </i>
    <i r="3" i="2">
      <x v="2"/>
    </i>
    <i>
      <x v="11"/>
    </i>
    <i r="1">
      <x v="11"/>
    </i>
    <i r="2">
      <x v="10"/>
    </i>
    <i r="3">
      <x/>
    </i>
    <i r="3" i="1">
      <x v="1"/>
    </i>
    <i r="3" i="2">
      <x v="2"/>
    </i>
    <i>
      <x v="12"/>
    </i>
    <i r="1">
      <x v="12"/>
    </i>
    <i r="2">
      <x v="11"/>
    </i>
    <i r="3">
      <x/>
    </i>
    <i r="3" i="1">
      <x v="1"/>
    </i>
    <i r="3" i="2">
      <x v="2"/>
    </i>
    <i>
      <x v="13"/>
    </i>
    <i r="1">
      <x v="13"/>
    </i>
    <i r="2">
      <x v="12"/>
    </i>
    <i r="3">
      <x/>
    </i>
    <i r="3" i="1">
      <x v="1"/>
    </i>
    <i r="3" i="2">
      <x v="2"/>
    </i>
    <i>
      <x v="14"/>
    </i>
    <i r="1">
      <x v="14"/>
    </i>
    <i r="2">
      <x v="13"/>
    </i>
    <i r="3">
      <x/>
    </i>
    <i r="3" i="1">
      <x v="1"/>
    </i>
    <i r="3" i="2">
      <x v="2"/>
    </i>
    <i>
      <x v="15"/>
    </i>
    <i r="1">
      <x v="15"/>
    </i>
    <i r="2">
      <x v="14"/>
    </i>
    <i r="3">
      <x/>
    </i>
    <i r="3" i="1">
      <x v="1"/>
    </i>
    <i r="3" i="2">
      <x v="2"/>
    </i>
    <i t="grand">
      <x/>
    </i>
    <i t="grand" i="1">
      <x/>
    </i>
    <i t="grand" i="2">
      <x/>
    </i>
  </rowItems>
  <colItems count="1">
    <i/>
  </colItems>
  <dataFields count="3">
    <dataField name="Sum of Price" fld="5" baseField="0" baseItem="0"/>
    <dataField name="Sum of Quantity" fld="4" baseField="0" baseItem="0"/>
    <dataField name="Sum of Total Price" fld="3" baseField="0" baseItem="0" numFmtId="164"/>
  </dataFields>
  <formats count="24">
    <format dxfId="94">
      <pivotArea collapsedLevelsAreSubtotals="1" fieldPosition="0">
        <references count="2">
          <reference field="0" count="1">
            <x v="9"/>
          </reference>
          <reference field="1" count="1" selected="0">
            <x v="0"/>
          </reference>
        </references>
      </pivotArea>
    </format>
    <format dxfId="93">
      <pivotArea outline="0" collapsedLevelsAreSubtotals="1" fieldPosition="0"/>
    </format>
    <format dxfId="92">
      <pivotArea outline="0" collapsedLevelsAreSubtotals="1" fieldPosition="0"/>
    </format>
    <format dxfId="91">
      <pivotArea field="0" type="button" dataOnly="0" labelOnly="1" outline="0" axis="axisRow" fieldPosition="0"/>
    </format>
    <format dxfId="90">
      <pivotArea dataOnly="0" labelOnly="1" fieldPosition="0">
        <references count="1">
          <reference field="0" count="0"/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87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86">
      <pivotArea dataOnly="0" labelOnly="1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85">
      <pivotArea dataOnly="0" labelOnly="1" fieldPosition="0">
        <references count="2">
          <reference field="0" count="1" selected="0">
            <x v="3"/>
          </reference>
          <reference field="2" count="1">
            <x v="3"/>
          </reference>
        </references>
      </pivotArea>
    </format>
    <format dxfId="84">
      <pivotArea dataOnly="0" labelOnly="1" fieldPosition="0">
        <references count="2">
          <reference field="0" count="1" selected="0">
            <x v="4"/>
          </reference>
          <reference field="2" count="1">
            <x v="4"/>
          </reference>
        </references>
      </pivotArea>
    </format>
    <format dxfId="83">
      <pivotArea dataOnly="0" labelOnly="1" fieldPosition="0">
        <references count="2">
          <reference field="0" count="1" selected="0">
            <x v="5"/>
          </reference>
          <reference field="2" count="1">
            <x v="5"/>
          </reference>
        </references>
      </pivotArea>
    </format>
    <format dxfId="82">
      <pivotArea dataOnly="0" labelOnly="1" fieldPosition="0">
        <references count="2">
          <reference field="0" count="1" selected="0">
            <x v="6"/>
          </reference>
          <reference field="2" count="1">
            <x v="6"/>
          </reference>
        </references>
      </pivotArea>
    </format>
    <format dxfId="81">
      <pivotArea dataOnly="0" labelOnly="1" fieldPosition="0">
        <references count="2">
          <reference field="0" count="1" selected="0">
            <x v="7"/>
          </reference>
          <reference field="2" count="1">
            <x v="7"/>
          </reference>
        </references>
      </pivotArea>
    </format>
    <format dxfId="80">
      <pivotArea dataOnly="0" labelOnly="1" fieldPosition="0">
        <references count="2">
          <reference field="0" count="1" selected="0">
            <x v="8"/>
          </reference>
          <reference field="2" count="1">
            <x v="8"/>
          </reference>
        </references>
      </pivotArea>
    </format>
    <format dxfId="79">
      <pivotArea dataOnly="0" labelOnly="1" fieldPosition="0">
        <references count="2">
          <reference field="0" count="1" selected="0">
            <x v="9"/>
          </reference>
          <reference field="2" count="1">
            <x v="9"/>
          </reference>
        </references>
      </pivotArea>
    </format>
    <format dxfId="78">
      <pivotArea dataOnly="0" labelOnly="1" fieldPosition="0">
        <references count="2">
          <reference field="0" count="1" selected="0">
            <x v="10"/>
          </reference>
          <reference field="2" count="1">
            <x v="10"/>
          </reference>
        </references>
      </pivotArea>
    </format>
    <format dxfId="77">
      <pivotArea dataOnly="0" labelOnly="1" fieldPosition="0">
        <references count="2">
          <reference field="0" count="1" selected="0">
            <x v="11"/>
          </reference>
          <reference field="2" count="1">
            <x v="11"/>
          </reference>
        </references>
      </pivotArea>
    </format>
    <format dxfId="76">
      <pivotArea dataOnly="0" labelOnly="1" fieldPosition="0">
        <references count="2">
          <reference field="0" count="1" selected="0">
            <x v="12"/>
          </reference>
          <reference field="2" count="1">
            <x v="12"/>
          </reference>
        </references>
      </pivotArea>
    </format>
    <format dxfId="75">
      <pivotArea dataOnly="0" labelOnly="1" fieldPosition="0">
        <references count="2">
          <reference field="0" count="1" selected="0">
            <x v="13"/>
          </reference>
          <reference field="2" count="1">
            <x v="13"/>
          </reference>
        </references>
      </pivotArea>
    </format>
    <format dxfId="74">
      <pivotArea dataOnly="0" labelOnly="1" fieldPosition="0">
        <references count="2">
          <reference field="0" count="1" selected="0">
            <x v="14"/>
          </reference>
          <reference field="2" count="1">
            <x v="14"/>
          </reference>
        </references>
      </pivotArea>
    </format>
    <format dxfId="73">
      <pivotArea dataOnly="0" labelOnly="1" fieldPosition="0">
        <references count="2">
          <reference field="0" count="1" selected="0">
            <x v="15"/>
          </reference>
          <reference field="2" count="1">
            <x v="15"/>
          </reference>
        </references>
      </pivotArea>
    </format>
    <format dxfId="72">
      <pivotArea dataOnly="0" labelOnly="1" fieldPosition="0">
        <references count="1">
          <reference field="1" count="0"/>
        </references>
      </pivotArea>
    </format>
    <format dxfId="71">
      <pivotArea dataOnly="0" labelOnly="1" grandCol="1" outline="0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7"/>
    <rowHierarchyUsage hierarchyUsage="6"/>
    <rowHierarchyUsage hierarchyUsage="8"/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tail Product]"/>
        <x15:activeTabTopLevelEntity name="[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9E189-2A6B-4A8B-9355-DACF0D6F605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7" firstHeaderRow="0" firstDataRow="1" firstDataCol="1" rowPageCount="1" colPageCount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6">
        <item x="0"/>
        <item x="9"/>
        <item x="1"/>
        <item x="13"/>
        <item x="11"/>
        <item x="7"/>
        <item x="8"/>
        <item x="12"/>
        <item x="3"/>
        <item x="6"/>
        <item x="4"/>
        <item x="5"/>
        <item x="2"/>
        <item x="14"/>
        <item x="10"/>
        <item t="default"/>
      </items>
    </pivotField>
    <pivotField showAll="0"/>
    <pivotField dataField="1" numFmtId="1" showAll="0"/>
    <pivotField numFmtId="1" showAll="0"/>
    <pivotField numFmtId="1" showAll="0"/>
    <pivotField numFmtId="42" showAll="0"/>
    <pivotField dataField="1" numFmtId="164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10"/>
    <field x="9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Quantity" fld="4" baseField="0" baseItem="0"/>
    <dataField name="Sum of Total Price" fld="8" baseField="0" baseItem="0" numFmtId="42"/>
  </dataFields>
  <formats count="2">
    <format dxfId="7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1D497-C137-4871-ABE7-3370644F6F3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6" firstHeaderRow="1" firstDataRow="1" firstDataCol="1"/>
  <pivotFields count="10">
    <pivotField axis="axisRow" showAll="0">
      <items count="33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5"/>
        <item x="4"/>
        <item x="0"/>
        <item x="3"/>
        <item x="1"/>
        <item x="2"/>
        <item t="default"/>
      </items>
    </pivotField>
    <pivotField numFmtId="42" showAll="0"/>
    <pivotField showAll="0"/>
    <pivotField numFmtId="9" showAll="0"/>
    <pivotField numFmtId="9" showAll="0"/>
    <pivotField numFmtId="164" showAll="0"/>
    <pivotField numFmtId="42" showAll="0"/>
    <pivotField numFmtId="164" showAll="0"/>
    <pivotField numFmtId="164" showAll="0"/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Profit" fld="9" baseField="0" baseItem="0" numFmtId="42"/>
  </dataFields>
  <formats count="1">
    <format dxfId="3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A6BBB-6122-40E7-8868-D639D2CE14A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" firstHeaderRow="0" firstDataRow="1" firstDataCol="0"/>
  <pivotFields count="10">
    <pivotField showAll="0"/>
    <pivotField numFmtId="42" showAll="0"/>
    <pivotField showAll="0"/>
    <pivotField numFmtId="9" showAll="0"/>
    <pivotField numFmtId="9" showAll="0"/>
    <pivotField numFmtId="164" showAll="0"/>
    <pivotField numFmtId="42" showAll="0"/>
    <pivotField numFmtId="8" showAll="0"/>
    <pivotField dataField="1" numFmtId="42" showAll="0"/>
    <pivotField dataField="1" numFmtId="4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Payment" fld="8" baseField="0" baseItem="0"/>
    <dataField name="Sum of Profit" fld="9" baseField="0" baseItem="0"/>
  </dataFields>
  <formats count="2">
    <format dxfId="37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dataOnly="0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4B207-6DB5-4A05-B4B9-32013578901D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42" showAll="0"/>
    <pivotField numFmtId="42" showAll="0"/>
    <pivotField showAll="0"/>
    <pivotField numFmtId="9" showAll="0"/>
    <pivotField numFmtId="9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16"/>
    <field x="15"/>
    <field x="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Profit" fld="14" baseField="0" baseItem="0" numFmtId="42"/>
  </dataFields>
  <formats count="1">
    <format dxfId="1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5A13D-08F3-46ED-920D-922C36D51526}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36" firstHeaderRow="0" firstDataRow="1" firstDataCol="1" rowPageCount="1" colPageCount="1"/>
  <pivotFields count="10">
    <pivotField axis="axisRow" showAll="0">
      <items count="33"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33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5"/>
        <item x="4"/>
        <item x="0"/>
        <item x="3"/>
        <item x="1"/>
        <item x="2"/>
        <item t="default"/>
      </items>
    </pivotField>
    <pivotField showAll="0"/>
    <pivotField showAll="0"/>
    <pivotField showAll="0"/>
    <pivotField numFmtId="42" showAll="0"/>
    <pivotField numFmtId="42" showAll="0"/>
    <pivotField numFmtId="42" showAll="0"/>
    <pivotField dataField="1" numFmtId="42" showAll="0"/>
    <pivotField dataField="1" numFmtId="42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Net Income" fld="9" baseField="0" baseItem="0"/>
    <dataField name="Sum of Loss" fld="8" baseField="0" baseItem="0"/>
  </dataFields>
  <formats count="1">
    <format dxfId="0">
      <pivotArea outline="0" collapsedLevelsAreSubtotals="1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D3B3F-7028-4237-992A-0BA718BA34BE}" name="Table1" displayName="Table1" ref="A2:C45" totalsRowShown="0" headerRowDxfId="120" headerRowBorderDxfId="119" tableBorderDxfId="118" totalsRowBorderDxfId="117">
  <autoFilter ref="A2:C45" xr:uid="{127BBC87-7F82-481D-B00E-B76E70F2786B}"/>
  <tableColumns count="3">
    <tableColumn id="1" xr3:uid="{C3A5050E-4309-497C-8BF8-50FBD476520E}" name="Price List Oppo" dataDxfId="116"/>
    <tableColumn id="2" xr3:uid="{71972725-AE58-4918-B546-507D3DC665CC}" name="Column1" dataDxfId="115"/>
    <tableColumn id="3" xr3:uid="{245A0D99-0F11-453C-9DDE-579F8136E0C2}" name="ID" dataDxfId="11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CB5B1D7-20AC-43FA-B667-F61F510A137F}" name="Table11" displayName="Table11" ref="A2:F34" totalsRowShown="0" headerRowDxfId="113">
  <autoFilter ref="A2:F34" xr:uid="{BC2AF89A-4979-4A96-B134-2B7444692CB8}"/>
  <tableColumns count="6">
    <tableColumn id="1" xr3:uid="{B3755235-81F1-4863-B4C0-D39CF6153C2D}" name="Type"/>
    <tableColumn id="2" xr3:uid="{A8A9BB6C-6DD6-4623-BC51-B8BA55ED1207}" name="Price" dataDxfId="112">
      <calculatedColumnFormula>VLOOKUP(Table11[[#This Row],[Type]],List!$A$4:$C$45,2,0)</calculatedColumnFormula>
    </tableColumn>
    <tableColumn id="3" xr3:uid="{8CC4174A-57C1-4CF5-BA16-25AA9F3EBC3D}" name="Stock"/>
    <tableColumn id="5" xr3:uid="{977AADAF-8160-44A7-A903-5013853C46A8}" name="Category"/>
    <tableColumn id="7" xr3:uid="{B147F4F9-0EF5-438D-A136-3A5C12BE9C8E}" name="Published On"/>
    <tableColumn id="6" xr3:uid="{1D848175-4970-42D2-A84D-2C0D75790FC1}" name="ID Product" dataDxfId="111">
      <calculatedColumnFormula>VLOOKUP(Table11[[#This Row],[Type]],List!A4:C45,3,0)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0E2750-037E-43DE-8F34-528371450AEB}" name="Table2" displayName="Table2" ref="A2:J18" totalsRowShown="0" headerRowDxfId="109" dataDxfId="107" headerRowBorderDxfId="108" tableBorderDxfId="106" totalsRowBorderDxfId="105">
  <autoFilter ref="A2:J18" xr:uid="{BA931B08-46FC-4E91-A3D9-373E5213A5D2}"/>
  <tableColumns count="10">
    <tableColumn id="1" xr3:uid="{16FE3B74-9C6F-431B-A807-38E564D6CF3E}" name="Customer Name" dataDxfId="104"/>
    <tableColumn id="2" xr3:uid="{AE79AF5F-0B7B-42A3-8EA6-C3B4393FD4EC}" name="Transaction Date" dataDxfId="103"/>
    <tableColumn id="3" xr3:uid="{6F27F137-0991-4BD6-A60F-41D1A92270ED}" name="Item Name" dataDxfId="102"/>
    <tableColumn id="4" xr3:uid="{09C3D1CC-F442-48EA-9225-BC41F820D3B4}" name="Category" dataDxfId="101"/>
    <tableColumn id="5" xr3:uid="{139C617E-A220-4E95-B3ED-FE483DE219FB}" name="Quantity" dataDxfId="100"/>
    <tableColumn id="6" xr3:uid="{5D8EDC8D-1932-4C8C-BD2A-FF2CA5F9E337}" name="Stock" dataDxfId="99"/>
    <tableColumn id="7" xr3:uid="{C3A9A03A-2E1E-42C6-A7A6-F6C21C43F1CA}" name="Stock Left" dataDxfId="98">
      <calculatedColumnFormula>SUM(F3-E3)</calculatedColumnFormula>
    </tableColumn>
    <tableColumn id="8" xr3:uid="{9D3EC179-EC15-4B73-82DD-CFD6762099BF}" name="Price" dataDxfId="97"/>
    <tableColumn id="9" xr3:uid="{B8E15EC7-A188-48BA-B4E5-48DBC15414AD}" name="Total Price" dataDxfId="96">
      <calculatedColumnFormula>SUM(Table2[[#This Row],[Price]]*Table2[[#This Row],[Quantity]])</calculatedColumnFormula>
    </tableColumn>
    <tableColumn id="13" xr3:uid="{446195CC-2E9C-46F9-A9B7-1EDE123FCDD5}" name="ID Product" dataDxfId="95">
      <calculatedColumnFormula>VLOOKUP(Table2[[#This Row],[Item Name]],Table11[],6,0)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C27D79-A977-4858-805E-EA58178CFA22}" name="Table8" displayName="Table8" ref="A2:J34" totalsRowShown="0" headerRowDxfId="68" dataDxfId="66" headerRowBorderDxfId="67" tableBorderDxfId="65" totalsRowBorderDxfId="64">
  <autoFilter ref="A2:J34" xr:uid="{1075A478-1BAD-430C-80CE-2BA2E80CD7D4}"/>
  <tableColumns count="10">
    <tableColumn id="1" xr3:uid="{05145CCB-D167-4C2D-8C06-666A179F6A9B}" name="Type" dataDxfId="63"/>
    <tableColumn id="2" xr3:uid="{EF3C3484-0A97-4A73-8AF2-70B28B6E5A73}" name="Price" dataDxfId="62">
      <calculatedColumnFormula>VLOOKUP(Table8[[#This Row],[Type]],List!$A$4:$B$45,2,0)</calculatedColumnFormula>
    </tableColumn>
    <tableColumn id="3" xr3:uid="{D8E345E2-FB07-43F1-B292-D8785BE6C7D6}" name="Number Of Installment" dataDxfId="61"/>
    <tableColumn id="4" xr3:uid="{5ED763EE-98CB-4E25-8790-F263A70B0F4F}" name="Interest Rate" dataDxfId="60"/>
    <tableColumn id="5" xr3:uid="{F1373AA3-8477-4160-8427-559024FFE26B}" name="DP Interest Rate" dataDxfId="59"/>
    <tableColumn id="6" xr3:uid="{6BE53D81-3E8C-45FC-B437-BD5705DA77A0}" name="DP" dataDxfId="58">
      <calculatedColumnFormula>B3*E3</calculatedColumnFormula>
    </tableColumn>
    <tableColumn id="7" xr3:uid="{64ADE53B-6197-4548-BEB2-F62679AAE977}" name="Remaining Payment" dataDxfId="57">
      <calculatedColumnFormula>B3-F3</calculatedColumnFormula>
    </tableColumn>
    <tableColumn id="8" xr3:uid="{DB460F31-47DB-4A89-ACE4-734D15397F74}" name="Monthly Installment" dataDxfId="56">
      <calculatedColumnFormula>PMT(D3/12,C3,-G3)</calculatedColumnFormula>
    </tableColumn>
    <tableColumn id="9" xr3:uid="{088C5085-19D8-437E-8D10-B8AE545BF32C}" name="Total Payment" dataDxfId="55">
      <calculatedColumnFormula>H3*C3</calculatedColumnFormula>
    </tableColumn>
    <tableColumn id="10" xr3:uid="{600B530A-3153-4DE3-BACA-21A6327F9C36}" name="Profit" dataDxfId="54">
      <calculatedColumnFormula>I3-B3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E3F009-5441-4B6C-9070-AE2C951ABF90}" name="Table6" displayName="Table6" ref="A37:J69" totalsRowShown="0" headerRowDxfId="53" dataDxfId="51" headerRowBorderDxfId="52" tableBorderDxfId="50" totalsRowBorderDxfId="49">
  <autoFilter ref="A37:J69" xr:uid="{95AE13AA-226D-4CE2-B958-E609B35C877F}"/>
  <tableColumns count="10">
    <tableColumn id="1" xr3:uid="{7BCFB575-4E91-48EF-A5FC-45B76EFEE2F2}" name="Type" dataDxfId="48"/>
    <tableColumn id="2" xr3:uid="{838271CE-EF0E-4DA4-A872-DC2CADED5080}" name="Price" dataDxfId="47">
      <calculatedColumnFormula>VLOOKUP(Table6[[#This Row],[Type]],List!$A$4:$B$45,2,0)</calculatedColumnFormula>
    </tableColumn>
    <tableColumn id="3" xr3:uid="{77D5473F-FEC2-49E4-BB5C-F53B02923720}" name="Number Of Installment" dataDxfId="46"/>
    <tableColumn id="4" xr3:uid="{705BD726-17AD-46EA-9274-522C7A6B616B}" name="Interest Rate" dataDxfId="45"/>
    <tableColumn id="5" xr3:uid="{A37FB9F2-6A38-4DDE-875E-D1690CDF151C}" name="DP Interest Rate" dataDxfId="44"/>
    <tableColumn id="6" xr3:uid="{3C76A094-A471-4D60-A17E-D66683F37A9B}" name="DP" dataDxfId="43">
      <calculatedColumnFormula>B38*E38</calculatedColumnFormula>
    </tableColumn>
    <tableColumn id="7" xr3:uid="{053E994D-6779-4A0F-98EF-D80865F76B8E}" name="Remaining Payment" dataDxfId="42">
      <calculatedColumnFormula>B38-F38</calculatedColumnFormula>
    </tableColumn>
    <tableColumn id="8" xr3:uid="{BCBC612C-7ED8-4715-A422-A7B66E7EAF29}" name="Monthly Installment" dataDxfId="41">
      <calculatedColumnFormula>PMT(D38/9,C38,-G38)</calculatedColumnFormula>
    </tableColumn>
    <tableColumn id="9" xr3:uid="{24264D0D-EA43-4AB5-A669-F8D6954FB1FB}" name="Total Payment" dataDxfId="40">
      <calculatedColumnFormula>H38*C38</calculatedColumnFormula>
    </tableColumn>
    <tableColumn id="10" xr3:uid="{AA151FEA-D5B8-4F00-8CD9-87BAD6AC3D22}" name="Profit" dataDxfId="39">
      <calculatedColumnFormula>I38-B38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FFEAE6-7942-4FDF-B82B-16AAAFC78FEC}" name="Table3" displayName="Table3" ref="A2:O18" totalsRowShown="0" headerRowDxfId="35" dataDxfId="33" headerRowBorderDxfId="34" tableBorderDxfId="32" totalsRowBorderDxfId="31">
  <autoFilter ref="A2:O18" xr:uid="{82358B41-FC0C-43AB-902A-17E1199CC43C}"/>
  <tableColumns count="15">
    <tableColumn id="1" xr3:uid="{773F6FDD-50FF-4CA4-85A4-ABD03D6DE2C0}" name="Customer Name" dataDxfId="30"/>
    <tableColumn id="2" xr3:uid="{6A247A93-33C4-44CF-BAAD-0548886AC266}" name="Transaction Date" dataDxfId="29">
      <calculatedColumnFormula>VLOOKUP(Table3[[#This Row],[Customer Name]],Table2[],2,0)</calculatedColumnFormula>
    </tableColumn>
    <tableColumn id="3" xr3:uid="{336B17DA-7210-4DAA-8CC9-313BFC9892FC}" name="Item Name" dataDxfId="28"/>
    <tableColumn id="4" xr3:uid="{7A081718-0461-461F-9DB8-F96316A16B68}" name="Quantity" dataDxfId="27"/>
    <tableColumn id="5" xr3:uid="{FFE6FDDC-07AC-415A-B942-E395A5B90A6C}" name="Price" dataDxfId="26"/>
    <tableColumn id="6" xr3:uid="{EC39ECB7-BBA7-42C5-958C-AB8EAFA34A21}" name="Total Price" dataDxfId="25">
      <calculatedColumnFormula>E3*D3</calculatedColumnFormula>
    </tableColumn>
    <tableColumn id="7" xr3:uid="{8630A4DF-DA27-4359-90A6-F996F0BE0455}" name="Number Of Installment" dataDxfId="24"/>
    <tableColumn id="8" xr3:uid="{11534DBC-2D39-472D-82C3-97BEC4FC8323}" name="Interest Rate" dataDxfId="23"/>
    <tableColumn id="9" xr3:uid="{A8F14438-AFC0-4ADC-A0F1-683143CB3516}" name="DP Interest Rate" dataDxfId="22"/>
    <tableColumn id="10" xr3:uid="{A1A42CB3-81C8-485F-998D-0723A74A9DE3}" name="DP per Unit" dataDxfId="21">
      <calculatedColumnFormula>SUM(E3*I3)</calculatedColumnFormula>
    </tableColumn>
    <tableColumn id="11" xr3:uid="{E7032CC9-CD1B-41F5-B91B-D328F22576A3}" name="DP Total" dataDxfId="20">
      <calculatedColumnFormula>SUM(J3*D3)</calculatedColumnFormula>
    </tableColumn>
    <tableColumn id="12" xr3:uid="{8802BE47-B48F-46C4-9DCD-A5202EB6D4B5}" name="Remaining Payment" dataDxfId="19">
      <calculatedColumnFormula>F3-K3</calculatedColumnFormula>
    </tableColumn>
    <tableColumn id="13" xr3:uid="{AAD004CB-0565-459A-8284-8D5281867D7D}" name="Monthly Installment" dataDxfId="18">
      <calculatedColumnFormula>PMT(H3/12,G3,-L3)</calculatedColumnFormula>
    </tableColumn>
    <tableColumn id="14" xr3:uid="{630FBFE2-4680-4674-9E2A-15760FE65213}" name="Total Payment" dataDxfId="17">
      <calculatedColumnFormula>SUM(M3*G3)</calculatedColumnFormula>
    </tableColumn>
    <tableColumn id="15" xr3:uid="{30070D5B-4E65-4E10-AC37-28EBF49881CB}" name="Profit" dataDxfId="16">
      <calculatedColumnFormula>N3-F3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F5988E-FA78-44F1-84B8-D0FF255E256D}" name="Table5" displayName="Table5" ref="A1:J33" totalsRowShown="0" headerRowDxfId="14" headerRowBorderDxfId="13" tableBorderDxfId="12" totalsRowBorderDxfId="11">
  <autoFilter ref="A1:J33" xr:uid="{FAB2B8ED-CC47-450C-A726-BF8E498CC72E}"/>
  <tableColumns count="10">
    <tableColumn id="1" xr3:uid="{BE842865-F5EA-4D69-B4EF-61430B817253}" name="Years" dataDxfId="10"/>
    <tableColumn id="2" xr3:uid="{1DF8A33E-EDED-467A-9EF1-16FF51F2B09C}" name="Item" dataDxfId="9"/>
    <tableColumn id="3" xr3:uid="{FDE25723-D0FE-4193-B2BE-476B54AB8418}" name="Quantity" dataDxfId="8"/>
    <tableColumn id="4" xr3:uid="{510FFFBC-EA1F-4278-ACCB-03DDC4D48F9C}" name="Stock" dataDxfId="7">
      <calculatedColumnFormula>VLOOKUP(B2,Table11[],3,0)</calculatedColumnFormula>
    </tableColumn>
    <tableColumn id="5" xr3:uid="{B6BDDD39-0A30-4F13-9DC2-835C81C387AC}" name="Left Stock" dataDxfId="6">
      <calculatedColumnFormula>D2-C2</calculatedColumnFormula>
    </tableColumn>
    <tableColumn id="6" xr3:uid="{029BBA93-EF8A-41C3-8DB1-1EE087A81A2F}" name="Price Per Unite" dataDxfId="5">
      <calculatedColumnFormula>VLOOKUP(B2,Table11[],2,0)</calculatedColumnFormula>
    </tableColumn>
    <tableColumn id="7" xr3:uid="{A0D4D665-0F66-4241-ACDD-23BD5CFA7100}" name="Total Price" dataDxfId="4">
      <calculatedColumnFormula>F2*C2</calculatedColumnFormula>
    </tableColumn>
    <tableColumn id="8" xr3:uid="{9D55B0BD-0172-4C17-9290-C18C234ED7EE}" name="Gross Income" dataDxfId="3">
      <calculatedColumnFormula>G2</calculatedColumnFormula>
    </tableColumn>
    <tableColumn id="9" xr3:uid="{1CCB6395-0502-4DAA-8082-4E8EBF65834E}" name="Loss" dataDxfId="2">
      <calculatedColumnFormula>F2*E2</calculatedColumnFormula>
    </tableColumn>
    <tableColumn id="10" xr3:uid="{F022486D-2434-4940-A5A1-F68D77BFDEDA}" name="Net Income" dataDxfId="1">
      <calculatedColumnFormula>H2-I2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FF54-B3CB-4FE6-8731-0D8E46CD59C5}">
  <dimension ref="A1:U45"/>
  <sheetViews>
    <sheetView topLeftCell="A24" workbookViewId="0">
      <selection activeCell="G12" sqref="G12"/>
    </sheetView>
  </sheetViews>
  <sheetFormatPr defaultRowHeight="15" x14ac:dyDescent="0.25"/>
  <cols>
    <col min="1" max="1" width="29.28515625" customWidth="1"/>
    <col min="2" max="2" width="21.42578125" customWidth="1"/>
    <col min="3" max="3" width="16.42578125" customWidth="1"/>
    <col min="5" max="5" width="26.28515625" customWidth="1"/>
    <col min="6" max="6" width="19.85546875" customWidth="1"/>
    <col min="7" max="7" width="17.85546875" customWidth="1"/>
  </cols>
  <sheetData>
    <row r="1" spans="1:21" ht="46.5" x14ac:dyDescent="0.7">
      <c r="A1" s="87" t="s">
        <v>39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x14ac:dyDescent="0.25">
      <c r="A2" s="11" t="s">
        <v>62</v>
      </c>
      <c r="B2" s="27" t="s">
        <v>65</v>
      </c>
      <c r="C2" s="12" t="s">
        <v>109</v>
      </c>
      <c r="E2" s="2" t="s">
        <v>62</v>
      </c>
      <c r="F2" s="2" t="s">
        <v>2</v>
      </c>
      <c r="G2" s="2" t="s">
        <v>109</v>
      </c>
    </row>
    <row r="3" spans="1:21" x14ac:dyDescent="0.25">
      <c r="A3" s="17" t="s">
        <v>0</v>
      </c>
      <c r="B3" s="54" t="s">
        <v>2</v>
      </c>
      <c r="C3" s="55" t="s">
        <v>108</v>
      </c>
      <c r="E3" s="85" t="s">
        <v>3</v>
      </c>
      <c r="F3" s="75">
        <f>VLOOKUP(E3,$A$4:$B$9,2,0)</f>
        <v>7999000</v>
      </c>
      <c r="G3" s="2" t="str">
        <f>VLOOKUP(E3,$A$4:$C$9,3,0)</f>
        <v>P-SMRT-SRN0100</v>
      </c>
    </row>
    <row r="4" spans="1:21" x14ac:dyDescent="0.25">
      <c r="A4" s="13" t="s">
        <v>3</v>
      </c>
      <c r="B4" s="31">
        <v>7999000</v>
      </c>
      <c r="C4" s="15" t="s">
        <v>136</v>
      </c>
      <c r="E4" s="86" t="s">
        <v>4</v>
      </c>
      <c r="F4" s="75">
        <f t="shared" ref="F4:F8" si="0">VLOOKUP(E4,$A$4:$B$9,2,0)</f>
        <v>7999000</v>
      </c>
      <c r="G4" s="2" t="str">
        <f t="shared" ref="G4:G8" si="1">VLOOKUP(E4,$A$4:$C$9,3,0)</f>
        <v>P-SMRT-SRN0237</v>
      </c>
    </row>
    <row r="5" spans="1:21" x14ac:dyDescent="0.25">
      <c r="A5" s="13" t="s">
        <v>4</v>
      </c>
      <c r="B5" s="31">
        <v>7999000</v>
      </c>
      <c r="C5" s="15" t="s">
        <v>137</v>
      </c>
      <c r="E5" s="85" t="s">
        <v>5</v>
      </c>
      <c r="F5" s="75">
        <f t="shared" si="0"/>
        <v>4999000</v>
      </c>
      <c r="G5" s="2" t="str">
        <f t="shared" si="1"/>
        <v>P-SMRT-SRN0312</v>
      </c>
    </row>
    <row r="6" spans="1:21" x14ac:dyDescent="0.25">
      <c r="A6" s="13" t="s">
        <v>5</v>
      </c>
      <c r="B6" s="31">
        <v>4999000</v>
      </c>
      <c r="C6" s="15" t="s">
        <v>138</v>
      </c>
      <c r="E6" s="86" t="s">
        <v>6</v>
      </c>
      <c r="F6" s="75">
        <f t="shared" si="0"/>
        <v>6299000</v>
      </c>
      <c r="G6" s="2" t="str">
        <f t="shared" si="1"/>
        <v>P-SMRT-SRN0421</v>
      </c>
    </row>
    <row r="7" spans="1:21" x14ac:dyDescent="0.25">
      <c r="A7" s="13" t="s">
        <v>6</v>
      </c>
      <c r="B7" s="31">
        <v>6299000</v>
      </c>
      <c r="C7" s="15" t="s">
        <v>139</v>
      </c>
      <c r="E7" s="85" t="s">
        <v>7</v>
      </c>
      <c r="F7" s="75">
        <f t="shared" si="0"/>
        <v>8999000</v>
      </c>
      <c r="G7" s="2" t="str">
        <f t="shared" si="1"/>
        <v>P-SMRT-SRN0577</v>
      </c>
    </row>
    <row r="8" spans="1:21" x14ac:dyDescent="0.25">
      <c r="A8" s="13" t="s">
        <v>7</v>
      </c>
      <c r="B8" s="31">
        <v>8999000</v>
      </c>
      <c r="C8" s="15" t="s">
        <v>140</v>
      </c>
      <c r="E8" s="86" t="s">
        <v>8</v>
      </c>
      <c r="F8" s="75">
        <f t="shared" si="0"/>
        <v>9999000</v>
      </c>
      <c r="G8" s="2" t="str">
        <f t="shared" si="1"/>
        <v>P-SMRT-SRN0684</v>
      </c>
    </row>
    <row r="9" spans="1:21" x14ac:dyDescent="0.25">
      <c r="A9" s="13" t="s">
        <v>8</v>
      </c>
      <c r="B9" s="31">
        <v>9999000</v>
      </c>
      <c r="C9" s="15" t="s">
        <v>141</v>
      </c>
    </row>
    <row r="10" spans="1:21" x14ac:dyDescent="0.25">
      <c r="A10" s="13"/>
      <c r="B10" s="2"/>
      <c r="C10" s="15"/>
    </row>
    <row r="11" spans="1:21" x14ac:dyDescent="0.25">
      <c r="A11" s="17" t="s">
        <v>9</v>
      </c>
      <c r="B11" s="54" t="s">
        <v>2</v>
      </c>
      <c r="C11" s="15" t="s">
        <v>108</v>
      </c>
    </row>
    <row r="12" spans="1:21" x14ac:dyDescent="0.25">
      <c r="A12" s="13" t="s">
        <v>10</v>
      </c>
      <c r="B12" s="31">
        <v>1599000</v>
      </c>
      <c r="C12" s="15" t="s">
        <v>110</v>
      </c>
    </row>
    <row r="13" spans="1:21" x14ac:dyDescent="0.25">
      <c r="A13" s="13" t="s">
        <v>11</v>
      </c>
      <c r="B13" s="31">
        <v>1540000</v>
      </c>
      <c r="C13" s="15" t="s">
        <v>111</v>
      </c>
    </row>
    <row r="14" spans="1:21" x14ac:dyDescent="0.25">
      <c r="A14" s="13" t="s">
        <v>12</v>
      </c>
      <c r="B14" s="31">
        <v>2149900</v>
      </c>
      <c r="C14" s="15" t="s">
        <v>112</v>
      </c>
    </row>
    <row r="15" spans="1:21" x14ac:dyDescent="0.25">
      <c r="A15" s="13" t="s">
        <v>13</v>
      </c>
      <c r="B15" s="31">
        <v>1850000</v>
      </c>
      <c r="C15" s="15" t="s">
        <v>113</v>
      </c>
    </row>
    <row r="16" spans="1:21" x14ac:dyDescent="0.25">
      <c r="A16" s="13" t="s">
        <v>14</v>
      </c>
      <c r="B16" s="31">
        <v>1699000</v>
      </c>
      <c r="C16" s="15" t="s">
        <v>114</v>
      </c>
    </row>
    <row r="17" spans="1:3" x14ac:dyDescent="0.25">
      <c r="A17" s="13" t="s">
        <v>15</v>
      </c>
      <c r="B17" s="31">
        <v>2250000</v>
      </c>
      <c r="C17" s="15" t="s">
        <v>115</v>
      </c>
    </row>
    <row r="18" spans="1:3" x14ac:dyDescent="0.25">
      <c r="A18" s="13" t="s">
        <v>16</v>
      </c>
      <c r="B18" s="31">
        <v>1599000</v>
      </c>
      <c r="C18" s="15" t="s">
        <v>116</v>
      </c>
    </row>
    <row r="19" spans="1:3" x14ac:dyDescent="0.25">
      <c r="A19" s="13" t="s">
        <v>17</v>
      </c>
      <c r="B19" s="31">
        <v>1799000</v>
      </c>
      <c r="C19" s="15" t="s">
        <v>117</v>
      </c>
    </row>
    <row r="20" spans="1:3" x14ac:dyDescent="0.25">
      <c r="A20" s="13" t="s">
        <v>18</v>
      </c>
      <c r="B20" s="31">
        <v>2099000</v>
      </c>
      <c r="C20" s="15" t="s">
        <v>118</v>
      </c>
    </row>
    <row r="21" spans="1:3" x14ac:dyDescent="0.25">
      <c r="A21" s="13" t="s">
        <v>19</v>
      </c>
      <c r="B21" s="31">
        <v>3699000</v>
      </c>
      <c r="C21" s="15" t="s">
        <v>119</v>
      </c>
    </row>
    <row r="22" spans="1:3" x14ac:dyDescent="0.25">
      <c r="A22" s="13"/>
      <c r="B22" s="2"/>
      <c r="C22" s="15"/>
    </row>
    <row r="23" spans="1:3" x14ac:dyDescent="0.25">
      <c r="A23" s="17" t="s">
        <v>20</v>
      </c>
      <c r="B23" s="54" t="s">
        <v>2</v>
      </c>
      <c r="C23" s="15" t="s">
        <v>108</v>
      </c>
    </row>
    <row r="24" spans="1:3" x14ac:dyDescent="0.25">
      <c r="A24" s="13" t="s">
        <v>21</v>
      </c>
      <c r="B24" s="31">
        <v>3299000</v>
      </c>
      <c r="C24" s="15" t="s">
        <v>124</v>
      </c>
    </row>
    <row r="25" spans="1:3" x14ac:dyDescent="0.25">
      <c r="A25" s="13" t="s">
        <v>22</v>
      </c>
      <c r="B25" s="31">
        <v>3699000</v>
      </c>
      <c r="C25" s="15" t="s">
        <v>125</v>
      </c>
    </row>
    <row r="26" spans="1:3" x14ac:dyDescent="0.25">
      <c r="A26" s="13" t="s">
        <v>23</v>
      </c>
      <c r="B26" s="31">
        <v>1700000</v>
      </c>
      <c r="C26" s="15" t="s">
        <v>126</v>
      </c>
    </row>
    <row r="27" spans="1:3" x14ac:dyDescent="0.25">
      <c r="A27" s="13" t="s">
        <v>24</v>
      </c>
      <c r="B27" s="31">
        <v>1750000</v>
      </c>
      <c r="C27" s="15" t="s">
        <v>127</v>
      </c>
    </row>
    <row r="28" spans="1:3" x14ac:dyDescent="0.25">
      <c r="A28" s="13" t="s">
        <v>25</v>
      </c>
      <c r="B28" s="31">
        <v>1350000</v>
      </c>
      <c r="C28" s="15" t="s">
        <v>128</v>
      </c>
    </row>
    <row r="29" spans="1:3" x14ac:dyDescent="0.25">
      <c r="A29" s="13" t="s">
        <v>28</v>
      </c>
      <c r="B29" s="31">
        <v>1999000</v>
      </c>
      <c r="C29" s="15" t="s">
        <v>129</v>
      </c>
    </row>
    <row r="30" spans="1:3" x14ac:dyDescent="0.25">
      <c r="A30" s="13" t="s">
        <v>26</v>
      </c>
      <c r="B30" s="31">
        <v>1699000</v>
      </c>
      <c r="C30" s="15" t="s">
        <v>130</v>
      </c>
    </row>
    <row r="31" spans="1:3" x14ac:dyDescent="0.25">
      <c r="A31" s="13" t="s">
        <v>27</v>
      </c>
      <c r="B31" s="31">
        <v>2350000</v>
      </c>
      <c r="C31" s="15" t="s">
        <v>131</v>
      </c>
    </row>
    <row r="32" spans="1:3" x14ac:dyDescent="0.25">
      <c r="A32" s="13" t="s">
        <v>29</v>
      </c>
      <c r="B32" s="31">
        <v>3299000</v>
      </c>
      <c r="C32" s="15" t="s">
        <v>132</v>
      </c>
    </row>
    <row r="33" spans="1:3" x14ac:dyDescent="0.25">
      <c r="A33" s="13" t="s">
        <v>30</v>
      </c>
      <c r="B33" s="31">
        <v>2249000</v>
      </c>
      <c r="C33" s="15" t="s">
        <v>133</v>
      </c>
    </row>
    <row r="34" spans="1:3" x14ac:dyDescent="0.25">
      <c r="A34" s="13" t="s">
        <v>31</v>
      </c>
      <c r="B34" s="31">
        <v>2699000</v>
      </c>
      <c r="C34" s="15" t="s">
        <v>134</v>
      </c>
    </row>
    <row r="35" spans="1:3" x14ac:dyDescent="0.25">
      <c r="A35" s="13" t="s">
        <v>32</v>
      </c>
      <c r="B35" s="31">
        <v>3299000</v>
      </c>
      <c r="C35" s="15" t="s">
        <v>135</v>
      </c>
    </row>
    <row r="36" spans="1:3" x14ac:dyDescent="0.25">
      <c r="A36" s="13"/>
      <c r="B36" s="2"/>
      <c r="C36" s="15"/>
    </row>
    <row r="37" spans="1:3" x14ac:dyDescent="0.25">
      <c r="A37" s="17" t="s">
        <v>33</v>
      </c>
      <c r="B37" s="54" t="s">
        <v>2</v>
      </c>
      <c r="C37" s="15" t="s">
        <v>108</v>
      </c>
    </row>
    <row r="38" spans="1:3" x14ac:dyDescent="0.25">
      <c r="A38" s="13" t="s">
        <v>34</v>
      </c>
      <c r="B38" s="31">
        <v>9999000</v>
      </c>
      <c r="C38" s="15" t="s">
        <v>120</v>
      </c>
    </row>
    <row r="39" spans="1:3" x14ac:dyDescent="0.25">
      <c r="A39" s="13" t="s">
        <v>35</v>
      </c>
      <c r="B39" s="31">
        <v>10299000</v>
      </c>
      <c r="C39" s="15" t="s">
        <v>121</v>
      </c>
    </row>
    <row r="40" spans="1:3" x14ac:dyDescent="0.25">
      <c r="A40" s="13"/>
      <c r="B40" s="2"/>
      <c r="C40" s="15"/>
    </row>
    <row r="41" spans="1:3" x14ac:dyDescent="0.25">
      <c r="A41" s="17" t="s">
        <v>63</v>
      </c>
      <c r="B41" s="54" t="s">
        <v>2</v>
      </c>
      <c r="C41" s="15" t="s">
        <v>108</v>
      </c>
    </row>
    <row r="42" spans="1:3" x14ac:dyDescent="0.25">
      <c r="A42" s="13" t="s">
        <v>36</v>
      </c>
      <c r="B42" s="31">
        <v>3999000</v>
      </c>
      <c r="C42" s="15" t="s">
        <v>122</v>
      </c>
    </row>
    <row r="43" spans="1:3" x14ac:dyDescent="0.25">
      <c r="A43" s="13"/>
      <c r="B43" s="2"/>
      <c r="C43" s="15"/>
    </row>
    <row r="44" spans="1:3" x14ac:dyDescent="0.25">
      <c r="A44" s="17" t="s">
        <v>64</v>
      </c>
      <c r="B44" s="54" t="s">
        <v>2</v>
      </c>
      <c r="C44" s="15" t="s">
        <v>108</v>
      </c>
    </row>
    <row r="45" spans="1:3" x14ac:dyDescent="0.25">
      <c r="A45" s="16" t="s">
        <v>37</v>
      </c>
      <c r="B45" s="56">
        <v>5999000</v>
      </c>
      <c r="C45" s="52" t="s">
        <v>123</v>
      </c>
    </row>
  </sheetData>
  <mergeCells count="1">
    <mergeCell ref="A1:U1"/>
  </mergeCell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80C07-44CE-4BCB-A433-D827FA249B40}">
  <dimension ref="A3:B36"/>
  <sheetViews>
    <sheetView workbookViewId="0">
      <selection activeCell="A4" sqref="A4:B35"/>
    </sheetView>
  </sheetViews>
  <sheetFormatPr defaultRowHeight="15" x14ac:dyDescent="0.25"/>
  <cols>
    <col min="1" max="1" width="26.7109375" bestFit="1" customWidth="1"/>
    <col min="2" max="2" width="14" bestFit="1" customWidth="1"/>
  </cols>
  <sheetData>
    <row r="3" spans="1:2" x14ac:dyDescent="0.25">
      <c r="A3" s="6" t="s">
        <v>48</v>
      </c>
      <c r="B3" t="s">
        <v>103</v>
      </c>
    </row>
    <row r="4" spans="1:2" x14ac:dyDescent="0.25">
      <c r="A4" s="7" t="s">
        <v>10</v>
      </c>
      <c r="B4" s="50">
        <v>170600.53183543216</v>
      </c>
    </row>
    <row r="5" spans="1:2" x14ac:dyDescent="0.25">
      <c r="A5" s="7" t="s">
        <v>11</v>
      </c>
      <c r="B5" s="50">
        <v>164305.70295595098</v>
      </c>
    </row>
    <row r="6" spans="1:2" x14ac:dyDescent="0.25">
      <c r="A6" s="7" t="s">
        <v>12</v>
      </c>
      <c r="B6" s="50">
        <v>229377.16284740157</v>
      </c>
    </row>
    <row r="7" spans="1:2" x14ac:dyDescent="0.25">
      <c r="A7" s="7" t="s">
        <v>13</v>
      </c>
      <c r="B7" s="50">
        <v>197380.22757695382</v>
      </c>
    </row>
    <row r="8" spans="1:2" x14ac:dyDescent="0.25">
      <c r="A8" s="7" t="s">
        <v>14</v>
      </c>
      <c r="B8" s="50">
        <v>181269.73332607816</v>
      </c>
    </row>
    <row r="9" spans="1:2" x14ac:dyDescent="0.25">
      <c r="A9" s="7" t="s">
        <v>15</v>
      </c>
      <c r="B9" s="50">
        <v>240057.03353953874</v>
      </c>
    </row>
    <row r="10" spans="1:2" x14ac:dyDescent="0.25">
      <c r="A10" s="7" t="s">
        <v>16</v>
      </c>
      <c r="B10" s="50">
        <v>170600.53183543216</v>
      </c>
    </row>
    <row r="11" spans="1:2" x14ac:dyDescent="0.25">
      <c r="A11" s="7" t="s">
        <v>17</v>
      </c>
      <c r="B11" s="50">
        <v>191938.93481672439</v>
      </c>
    </row>
    <row r="12" spans="1:2" x14ac:dyDescent="0.25">
      <c r="A12" s="7" t="s">
        <v>18</v>
      </c>
      <c r="B12" s="50">
        <v>223946.53928866331</v>
      </c>
    </row>
    <row r="13" spans="1:2" x14ac:dyDescent="0.25">
      <c r="A13" s="7" t="s">
        <v>19</v>
      </c>
      <c r="B13" s="50">
        <v>394653.76313900109</v>
      </c>
    </row>
    <row r="14" spans="1:2" x14ac:dyDescent="0.25">
      <c r="A14" s="7" t="s">
        <v>21</v>
      </c>
      <c r="B14" s="50">
        <v>351976.95717641711</v>
      </c>
    </row>
    <row r="15" spans="1:2" x14ac:dyDescent="0.25">
      <c r="A15" s="7" t="s">
        <v>22</v>
      </c>
      <c r="B15" s="50">
        <v>394653.76313900109</v>
      </c>
    </row>
    <row r="16" spans="1:2" x14ac:dyDescent="0.25">
      <c r="A16" s="7" t="s">
        <v>23</v>
      </c>
      <c r="B16" s="50">
        <v>181376.42534098495</v>
      </c>
    </row>
    <row r="17" spans="1:2" x14ac:dyDescent="0.25">
      <c r="A17" s="7" t="s">
        <v>24</v>
      </c>
      <c r="B17" s="50">
        <v>186711.0260863076</v>
      </c>
    </row>
    <row r="18" spans="1:2" x14ac:dyDescent="0.25">
      <c r="A18" s="7" t="s">
        <v>25</v>
      </c>
      <c r="B18" s="50">
        <v>144034.22012372315</v>
      </c>
    </row>
    <row r="19" spans="1:2" x14ac:dyDescent="0.25">
      <c r="A19" s="7" t="s">
        <v>28</v>
      </c>
      <c r="B19" s="50">
        <v>213277.33779801708</v>
      </c>
    </row>
    <row r="20" spans="1:2" x14ac:dyDescent="0.25">
      <c r="A20" s="7" t="s">
        <v>26</v>
      </c>
      <c r="B20" s="50">
        <v>181269.73332607816</v>
      </c>
    </row>
    <row r="21" spans="1:2" x14ac:dyDescent="0.25">
      <c r="A21" s="7" t="s">
        <v>27</v>
      </c>
      <c r="B21" s="50">
        <v>250726.2350301845</v>
      </c>
    </row>
    <row r="22" spans="1:2" x14ac:dyDescent="0.25">
      <c r="A22" s="7" t="s">
        <v>29</v>
      </c>
      <c r="B22" s="50">
        <v>351976.95717641711</v>
      </c>
    </row>
    <row r="23" spans="1:2" x14ac:dyDescent="0.25">
      <c r="A23" s="7" t="s">
        <v>30</v>
      </c>
      <c r="B23" s="50">
        <v>239950.34152463265</v>
      </c>
    </row>
    <row r="24" spans="1:2" x14ac:dyDescent="0.25">
      <c r="A24" s="7" t="s">
        <v>31</v>
      </c>
      <c r="B24" s="50">
        <v>287961.74823254021</v>
      </c>
    </row>
    <row r="25" spans="1:2" x14ac:dyDescent="0.25">
      <c r="A25" s="7" t="s">
        <v>32</v>
      </c>
      <c r="B25" s="50">
        <v>351976.95717641711</v>
      </c>
    </row>
    <row r="26" spans="1:2" x14ac:dyDescent="0.25">
      <c r="A26" s="7" t="s">
        <v>34</v>
      </c>
      <c r="B26" s="50">
        <v>1066813.4570497088</v>
      </c>
    </row>
    <row r="27" spans="1:2" x14ac:dyDescent="0.25">
      <c r="A27" s="7" t="s">
        <v>35</v>
      </c>
      <c r="B27" s="50">
        <v>1098821.0615216475</v>
      </c>
    </row>
    <row r="28" spans="1:2" x14ac:dyDescent="0.25">
      <c r="A28" s="7" t="s">
        <v>36</v>
      </c>
      <c r="B28" s="50">
        <v>426661.36761093978</v>
      </c>
    </row>
    <row r="29" spans="1:2" x14ac:dyDescent="0.25">
      <c r="A29" s="7" t="s">
        <v>37</v>
      </c>
      <c r="B29" s="50">
        <v>640045.39742386341</v>
      </c>
    </row>
    <row r="30" spans="1:2" x14ac:dyDescent="0.25">
      <c r="A30" s="7" t="s">
        <v>8</v>
      </c>
      <c r="B30" s="50">
        <v>1066813.4570497088</v>
      </c>
    </row>
    <row r="31" spans="1:2" x14ac:dyDescent="0.25">
      <c r="A31" s="7" t="s">
        <v>7</v>
      </c>
      <c r="B31" s="50">
        <v>960121.44214324839</v>
      </c>
    </row>
    <row r="32" spans="1:2" x14ac:dyDescent="0.25">
      <c r="A32" s="7" t="s">
        <v>3</v>
      </c>
      <c r="B32" s="50">
        <v>853429.42723678797</v>
      </c>
    </row>
    <row r="33" spans="1:2" x14ac:dyDescent="0.25">
      <c r="A33" s="7" t="s">
        <v>6</v>
      </c>
      <c r="B33" s="50">
        <v>672053.00189580116</v>
      </c>
    </row>
    <row r="34" spans="1:2" x14ac:dyDescent="0.25">
      <c r="A34" s="7" t="s">
        <v>4</v>
      </c>
      <c r="B34" s="50">
        <v>853429.42723678797</v>
      </c>
    </row>
    <row r="35" spans="1:2" x14ac:dyDescent="0.25">
      <c r="A35" s="7" t="s">
        <v>5</v>
      </c>
      <c r="B35" s="50">
        <v>533353.38251740113</v>
      </c>
    </row>
    <row r="36" spans="1:2" x14ac:dyDescent="0.25">
      <c r="A36" s="7" t="s">
        <v>49</v>
      </c>
      <c r="B36" s="50">
        <v>13471563.284977794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3CFC-541D-45D7-913C-CFEE04200412}">
  <dimension ref="A3:B4"/>
  <sheetViews>
    <sheetView workbookViewId="0">
      <selection activeCell="A9" sqref="A9"/>
    </sheetView>
  </sheetViews>
  <sheetFormatPr defaultRowHeight="15" x14ac:dyDescent="0.25"/>
  <cols>
    <col min="1" max="1" width="15.85546875" customWidth="1"/>
    <col min="2" max="2" width="15" customWidth="1"/>
  </cols>
  <sheetData>
    <row r="3" spans="1:2" x14ac:dyDescent="0.25">
      <c r="A3" s="46" t="s">
        <v>102</v>
      </c>
      <c r="B3" s="46" t="s">
        <v>103</v>
      </c>
    </row>
    <row r="4" spans="1:2" x14ac:dyDescent="0.25">
      <c r="A4" s="46">
        <v>137553218.01003072</v>
      </c>
      <c r="B4" s="46">
        <v>11287318.010030739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7043-FCBC-4ACF-BA5C-172C5F8447A2}">
  <dimension ref="A1:U18"/>
  <sheetViews>
    <sheetView workbookViewId="0">
      <selection activeCell="B12" sqref="B12"/>
    </sheetView>
  </sheetViews>
  <sheetFormatPr defaultRowHeight="15" x14ac:dyDescent="0.25"/>
  <cols>
    <col min="1" max="1" width="17.42578125" customWidth="1"/>
    <col min="2" max="2" width="18.85546875" customWidth="1"/>
    <col min="3" max="3" width="29.140625" customWidth="1"/>
    <col min="4" max="4" width="10.85546875" customWidth="1"/>
    <col min="5" max="5" width="13.5703125" customWidth="1"/>
    <col min="6" max="6" width="17.28515625" customWidth="1"/>
    <col min="7" max="7" width="23.5703125" customWidth="1"/>
    <col min="8" max="8" width="15.85546875" customWidth="1"/>
    <col min="9" max="9" width="17.5703125" customWidth="1"/>
    <col min="10" max="10" width="13.42578125" customWidth="1"/>
    <col min="11" max="11" width="19.28515625" customWidth="1"/>
    <col min="12" max="12" width="21.140625" customWidth="1"/>
    <col min="13" max="13" width="21.28515625" customWidth="1"/>
    <col min="14" max="14" width="15.85546875" customWidth="1"/>
    <col min="15" max="15" width="15.140625" customWidth="1"/>
  </cols>
  <sheetData>
    <row r="1" spans="1:21" ht="36" x14ac:dyDescent="0.55000000000000004">
      <c r="A1" s="90" t="s">
        <v>39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</row>
    <row r="2" spans="1:21" x14ac:dyDescent="0.25">
      <c r="A2" s="21" t="s">
        <v>66</v>
      </c>
      <c r="B2" s="23" t="s">
        <v>86</v>
      </c>
      <c r="C2" s="23" t="s">
        <v>87</v>
      </c>
      <c r="D2" s="23" t="s">
        <v>88</v>
      </c>
      <c r="E2" s="23" t="s">
        <v>2</v>
      </c>
      <c r="F2" s="23" t="s">
        <v>89</v>
      </c>
      <c r="G2" s="23" t="s">
        <v>40</v>
      </c>
      <c r="H2" s="23" t="s">
        <v>41</v>
      </c>
      <c r="I2" s="23" t="s">
        <v>42</v>
      </c>
      <c r="J2" s="23" t="s">
        <v>104</v>
      </c>
      <c r="K2" s="23" t="s">
        <v>105</v>
      </c>
      <c r="L2" s="23" t="s">
        <v>44</v>
      </c>
      <c r="M2" s="23" t="s">
        <v>45</v>
      </c>
      <c r="N2" s="23" t="s">
        <v>46</v>
      </c>
      <c r="O2" s="20" t="s">
        <v>47</v>
      </c>
    </row>
    <row r="3" spans="1:21" x14ac:dyDescent="0.25">
      <c r="A3" s="13" t="s">
        <v>68</v>
      </c>
      <c r="B3" s="42">
        <f>VLOOKUP(Table3[[#This Row],[Customer Name]],Table2[],2,0)</f>
        <v>43415</v>
      </c>
      <c r="C3" s="2" t="s">
        <v>10</v>
      </c>
      <c r="D3" s="3">
        <v>2</v>
      </c>
      <c r="E3" s="4">
        <v>1599000</v>
      </c>
      <c r="F3" s="4">
        <f t="shared" ref="F3:F18" si="0">E3*D3</f>
        <v>3198000</v>
      </c>
      <c r="G3" s="3">
        <v>12</v>
      </c>
      <c r="H3" s="28">
        <v>0.4</v>
      </c>
      <c r="I3" s="28">
        <v>0.1</v>
      </c>
      <c r="J3" s="31">
        <f t="shared" ref="J3:J18" si="1">SUM(E3*I3)</f>
        <v>159900</v>
      </c>
      <c r="K3" s="31">
        <f t="shared" ref="K3:K18" si="2">SUM(J3*D3)</f>
        <v>319800</v>
      </c>
      <c r="L3" s="31">
        <f t="shared" ref="L3:L18" si="3">F3-K3</f>
        <v>2878200</v>
      </c>
      <c r="M3" s="31">
        <f t="shared" ref="M3:M18" si="4">PMT(H3/12,G3,-L3)</f>
        <v>294933.42197257205</v>
      </c>
      <c r="N3" s="31">
        <f t="shared" ref="N3:N18" si="5">SUM(M3*G3)</f>
        <v>3539201.0636708643</v>
      </c>
      <c r="O3" s="14">
        <f>N3-F3</f>
        <v>341201.06367086433</v>
      </c>
    </row>
    <row r="4" spans="1:21" x14ac:dyDescent="0.25">
      <c r="A4" s="13" t="s">
        <v>69</v>
      </c>
      <c r="B4" s="42">
        <f>VLOOKUP(Table3[[#This Row],[Customer Name]],Table2[],2,0)</f>
        <v>43810</v>
      </c>
      <c r="C4" s="2" t="s">
        <v>16</v>
      </c>
      <c r="D4" s="3">
        <v>5</v>
      </c>
      <c r="E4" s="4">
        <v>1599000</v>
      </c>
      <c r="F4" s="4">
        <f t="shared" si="0"/>
        <v>7995000</v>
      </c>
      <c r="G4" s="3">
        <v>12</v>
      </c>
      <c r="H4" s="28">
        <v>0.4</v>
      </c>
      <c r="I4" s="28">
        <v>0.1</v>
      </c>
      <c r="J4" s="31">
        <f t="shared" si="1"/>
        <v>159900</v>
      </c>
      <c r="K4" s="31">
        <f t="shared" si="2"/>
        <v>799500</v>
      </c>
      <c r="L4" s="31">
        <f t="shared" si="3"/>
        <v>7195500</v>
      </c>
      <c r="M4" s="31">
        <f t="shared" si="4"/>
        <v>737333.55493143003</v>
      </c>
      <c r="N4" s="31">
        <f t="shared" si="5"/>
        <v>8848002.6591771599</v>
      </c>
      <c r="O4" s="14">
        <f t="shared" ref="O4:O18" si="6">N4-F4</f>
        <v>853002.65917715989</v>
      </c>
    </row>
    <row r="5" spans="1:21" x14ac:dyDescent="0.25">
      <c r="A5" s="13" t="s">
        <v>70</v>
      </c>
      <c r="B5" s="42">
        <f>VLOOKUP(Table3[[#This Row],[Customer Name]],Table2[],2,0)</f>
        <v>43452</v>
      </c>
      <c r="C5" s="2" t="s">
        <v>3</v>
      </c>
      <c r="D5" s="3">
        <v>1</v>
      </c>
      <c r="E5" s="4">
        <v>7999000</v>
      </c>
      <c r="F5" s="4">
        <f t="shared" si="0"/>
        <v>7999000</v>
      </c>
      <c r="G5" s="3">
        <v>12</v>
      </c>
      <c r="H5" s="28">
        <v>0.4</v>
      </c>
      <c r="I5" s="28">
        <v>0.1</v>
      </c>
      <c r="J5" s="31">
        <f t="shared" si="1"/>
        <v>799900</v>
      </c>
      <c r="K5" s="31">
        <f t="shared" si="2"/>
        <v>799900</v>
      </c>
      <c r="L5" s="31">
        <f t="shared" si="3"/>
        <v>7199100</v>
      </c>
      <c r="M5" s="31">
        <f t="shared" si="4"/>
        <v>737702.45226973225</v>
      </c>
      <c r="N5" s="31">
        <f t="shared" si="5"/>
        <v>8852429.427236788</v>
      </c>
      <c r="O5" s="14">
        <f t="shared" si="6"/>
        <v>853429.42723678797</v>
      </c>
    </row>
    <row r="6" spans="1:21" x14ac:dyDescent="0.25">
      <c r="A6" s="13" t="s">
        <v>71</v>
      </c>
      <c r="B6" s="42">
        <f>VLOOKUP(Table3[[#This Row],[Customer Name]],Table2[],2,0)</f>
        <v>43466</v>
      </c>
      <c r="C6" s="2" t="s">
        <v>34</v>
      </c>
      <c r="D6" s="3">
        <v>3</v>
      </c>
      <c r="E6" s="4">
        <v>9999000</v>
      </c>
      <c r="F6" s="4">
        <f t="shared" si="0"/>
        <v>29997000</v>
      </c>
      <c r="G6" s="3">
        <v>12</v>
      </c>
      <c r="H6" s="28">
        <v>0.4</v>
      </c>
      <c r="I6" s="28">
        <v>0.1</v>
      </c>
      <c r="J6" s="31">
        <f t="shared" si="1"/>
        <v>999900</v>
      </c>
      <c r="K6" s="31">
        <f t="shared" si="2"/>
        <v>2999700</v>
      </c>
      <c r="L6" s="31">
        <f t="shared" si="3"/>
        <v>26997300</v>
      </c>
      <c r="M6" s="43">
        <f t="shared" si="4"/>
        <v>2766453.3642624272</v>
      </c>
      <c r="N6" s="31">
        <f t="shared" si="5"/>
        <v>33197440.371149126</v>
      </c>
      <c r="O6" s="14">
        <f t="shared" si="6"/>
        <v>3200440.3711491264</v>
      </c>
    </row>
    <row r="7" spans="1:21" x14ac:dyDescent="0.25">
      <c r="A7" s="13" t="s">
        <v>72</v>
      </c>
      <c r="B7" s="42">
        <f>VLOOKUP(Table3[[#This Row],[Customer Name]],Table2[],2,0)</f>
        <v>43514</v>
      </c>
      <c r="C7" s="2" t="s">
        <v>37</v>
      </c>
      <c r="D7" s="3">
        <v>3</v>
      </c>
      <c r="E7" s="4">
        <v>5999000</v>
      </c>
      <c r="F7" s="4">
        <f t="shared" si="0"/>
        <v>17997000</v>
      </c>
      <c r="G7" s="3">
        <v>12</v>
      </c>
      <c r="H7" s="28">
        <v>0.4</v>
      </c>
      <c r="I7" s="28">
        <v>0.1</v>
      </c>
      <c r="J7" s="31">
        <f t="shared" si="1"/>
        <v>599900</v>
      </c>
      <c r="K7" s="31">
        <f t="shared" si="2"/>
        <v>1799700</v>
      </c>
      <c r="L7" s="31">
        <f t="shared" si="3"/>
        <v>16197300</v>
      </c>
      <c r="M7" s="31">
        <f t="shared" si="4"/>
        <v>1659761.3493559659</v>
      </c>
      <c r="N7" s="31">
        <f t="shared" si="5"/>
        <v>19917136.19227159</v>
      </c>
      <c r="O7" s="14">
        <f t="shared" si="6"/>
        <v>1920136.1922715902</v>
      </c>
    </row>
    <row r="8" spans="1:21" x14ac:dyDescent="0.25">
      <c r="A8" s="13" t="s">
        <v>73</v>
      </c>
      <c r="B8" s="42">
        <f>VLOOKUP(Table3[[#This Row],[Customer Name]],Table2[],2,0)</f>
        <v>43552</v>
      </c>
      <c r="C8" s="2" t="s">
        <v>8</v>
      </c>
      <c r="D8" s="3">
        <v>4</v>
      </c>
      <c r="E8" s="4">
        <v>9999000</v>
      </c>
      <c r="F8" s="4">
        <f t="shared" si="0"/>
        <v>39996000</v>
      </c>
      <c r="G8" s="3">
        <v>12</v>
      </c>
      <c r="H8" s="28">
        <v>0.4</v>
      </c>
      <c r="I8" s="28">
        <v>0.1</v>
      </c>
      <c r="J8" s="31">
        <f t="shared" si="1"/>
        <v>999900</v>
      </c>
      <c r="K8" s="31">
        <f t="shared" si="2"/>
        <v>3999600</v>
      </c>
      <c r="L8" s="31">
        <f t="shared" si="3"/>
        <v>35996400</v>
      </c>
      <c r="M8" s="31">
        <f t="shared" si="4"/>
        <v>3688604.4856832363</v>
      </c>
      <c r="N8" s="31">
        <f t="shared" si="5"/>
        <v>44263253.828198835</v>
      </c>
      <c r="O8" s="14">
        <f t="shared" si="6"/>
        <v>4267253.8281988353</v>
      </c>
    </row>
    <row r="9" spans="1:21" x14ac:dyDescent="0.25">
      <c r="A9" s="13" t="s">
        <v>74</v>
      </c>
      <c r="B9" s="42">
        <f>VLOOKUP(Table3[[#This Row],[Customer Name]],Table2[],2,0)</f>
        <v>43585</v>
      </c>
      <c r="C9" s="2" t="s">
        <v>36</v>
      </c>
      <c r="D9" s="3">
        <v>10</v>
      </c>
      <c r="E9" s="4">
        <v>3999000</v>
      </c>
      <c r="F9" s="4">
        <f t="shared" si="0"/>
        <v>39990000</v>
      </c>
      <c r="G9" s="3">
        <v>12</v>
      </c>
      <c r="H9" s="28">
        <v>0.4</v>
      </c>
      <c r="I9" s="28">
        <v>0.1</v>
      </c>
      <c r="J9" s="31">
        <f t="shared" si="1"/>
        <v>399900</v>
      </c>
      <c r="K9" s="31">
        <f t="shared" si="2"/>
        <v>3999000</v>
      </c>
      <c r="L9" s="31">
        <f t="shared" si="3"/>
        <v>35991000</v>
      </c>
      <c r="M9" s="31">
        <f t="shared" si="4"/>
        <v>3688051.1396757835</v>
      </c>
      <c r="N9" s="31">
        <f t="shared" si="5"/>
        <v>44256613.676109403</v>
      </c>
      <c r="O9" s="14">
        <f t="shared" si="6"/>
        <v>4266613.6761094034</v>
      </c>
    </row>
    <row r="10" spans="1:21" x14ac:dyDescent="0.25">
      <c r="A10" s="13" t="s">
        <v>75</v>
      </c>
      <c r="B10" s="42">
        <f>VLOOKUP(Table3[[#This Row],[Customer Name]],Table2[],2,0)</f>
        <v>43607</v>
      </c>
      <c r="C10" s="2" t="s">
        <v>25</v>
      </c>
      <c r="D10" s="3">
        <v>8</v>
      </c>
      <c r="E10" s="4">
        <v>1350000</v>
      </c>
      <c r="F10" s="4">
        <f t="shared" si="0"/>
        <v>10800000</v>
      </c>
      <c r="G10" s="3">
        <v>12</v>
      </c>
      <c r="H10" s="28">
        <v>0.4</v>
      </c>
      <c r="I10" s="28">
        <v>0.1</v>
      </c>
      <c r="J10" s="31">
        <f t="shared" si="1"/>
        <v>135000</v>
      </c>
      <c r="K10" s="31">
        <f t="shared" si="2"/>
        <v>1080000</v>
      </c>
      <c r="L10" s="31">
        <f t="shared" si="3"/>
        <v>9720000</v>
      </c>
      <c r="M10" s="31">
        <f t="shared" si="4"/>
        <v>996022.81341581547</v>
      </c>
      <c r="N10" s="31">
        <f t="shared" si="5"/>
        <v>11952273.760989785</v>
      </c>
      <c r="O10" s="14">
        <f t="shared" si="6"/>
        <v>1152273.7609897852</v>
      </c>
    </row>
    <row r="11" spans="1:21" x14ac:dyDescent="0.25">
      <c r="A11" s="13" t="s">
        <v>76</v>
      </c>
      <c r="B11" s="42">
        <f>VLOOKUP(Table3[[#This Row],[Customer Name]],Table2[],2,0)</f>
        <v>43635</v>
      </c>
      <c r="C11" s="2" t="s">
        <v>34</v>
      </c>
      <c r="D11" s="3">
        <v>7</v>
      </c>
      <c r="E11" s="4">
        <v>9999000</v>
      </c>
      <c r="F11" s="4">
        <f t="shared" si="0"/>
        <v>69993000</v>
      </c>
      <c r="G11" s="3">
        <v>12</v>
      </c>
      <c r="H11" s="28">
        <v>0.4</v>
      </c>
      <c r="I11" s="28">
        <v>0.1</v>
      </c>
      <c r="J11" s="31">
        <f t="shared" si="1"/>
        <v>999900</v>
      </c>
      <c r="K11" s="31">
        <f t="shared" si="2"/>
        <v>6999300</v>
      </c>
      <c r="L11" s="31">
        <f t="shared" si="3"/>
        <v>62993700</v>
      </c>
      <c r="M11" s="31">
        <f t="shared" si="4"/>
        <v>6455057.8499456644</v>
      </c>
      <c r="N11" s="31">
        <f t="shared" si="5"/>
        <v>77460694.199347973</v>
      </c>
      <c r="O11" s="14">
        <f t="shared" si="6"/>
        <v>7467694.1993479729</v>
      </c>
    </row>
    <row r="12" spans="1:21" x14ac:dyDescent="0.25">
      <c r="A12" s="13" t="s">
        <v>77</v>
      </c>
      <c r="B12" s="42">
        <f>VLOOKUP(Table3[[#This Row],[Customer Name]],Table2[],2,0)</f>
        <v>43672</v>
      </c>
      <c r="C12" s="2" t="s">
        <v>26</v>
      </c>
      <c r="D12" s="3">
        <v>2</v>
      </c>
      <c r="E12" s="4">
        <v>1699000</v>
      </c>
      <c r="F12" s="4">
        <f t="shared" si="0"/>
        <v>3398000</v>
      </c>
      <c r="G12" s="3">
        <v>12</v>
      </c>
      <c r="H12" s="28">
        <v>0.4</v>
      </c>
      <c r="I12" s="28">
        <v>0.1</v>
      </c>
      <c r="J12" s="31">
        <f t="shared" si="1"/>
        <v>169900</v>
      </c>
      <c r="K12" s="31">
        <f t="shared" si="2"/>
        <v>339800</v>
      </c>
      <c r="L12" s="31">
        <f t="shared" si="3"/>
        <v>3058200</v>
      </c>
      <c r="M12" s="31">
        <f t="shared" si="4"/>
        <v>313378.28888767969</v>
      </c>
      <c r="N12" s="31">
        <f t="shared" si="5"/>
        <v>3760539.4666521563</v>
      </c>
      <c r="O12" s="14">
        <f t="shared" si="6"/>
        <v>362539.46665215632</v>
      </c>
    </row>
    <row r="13" spans="1:21" x14ac:dyDescent="0.25">
      <c r="A13" s="13" t="s">
        <v>78</v>
      </c>
      <c r="B13" s="42">
        <f>VLOOKUP(Table3[[#This Row],[Customer Name]],Table2[],2,0)</f>
        <v>43699</v>
      </c>
      <c r="C13" s="2" t="s">
        <v>84</v>
      </c>
      <c r="D13" s="3">
        <v>6</v>
      </c>
      <c r="E13" s="4">
        <v>2149900</v>
      </c>
      <c r="F13" s="4">
        <f t="shared" si="0"/>
        <v>12899400</v>
      </c>
      <c r="G13" s="3">
        <v>12</v>
      </c>
      <c r="H13" s="28">
        <v>0.4</v>
      </c>
      <c r="I13" s="28">
        <v>0.1</v>
      </c>
      <c r="J13" s="31">
        <f t="shared" si="1"/>
        <v>214990</v>
      </c>
      <c r="K13" s="31">
        <f t="shared" si="2"/>
        <v>1289940</v>
      </c>
      <c r="L13" s="31">
        <f t="shared" si="3"/>
        <v>11609460</v>
      </c>
      <c r="M13" s="31">
        <f t="shared" si="4"/>
        <v>1189638.5814237008</v>
      </c>
      <c r="N13" s="31">
        <f t="shared" si="5"/>
        <v>14275662.977084409</v>
      </c>
      <c r="O13" s="14">
        <f t="shared" si="6"/>
        <v>1376262.9770844094</v>
      </c>
    </row>
    <row r="14" spans="1:21" x14ac:dyDescent="0.25">
      <c r="A14" s="13" t="s">
        <v>79</v>
      </c>
      <c r="B14" s="42">
        <f>VLOOKUP(Table3[[#This Row],[Customer Name]],Table2[],2,0)</f>
        <v>43709</v>
      </c>
      <c r="C14" s="2" t="s">
        <v>5</v>
      </c>
      <c r="D14" s="3">
        <v>4</v>
      </c>
      <c r="E14" s="4">
        <v>4999000</v>
      </c>
      <c r="F14" s="4">
        <f t="shared" si="0"/>
        <v>19996000</v>
      </c>
      <c r="G14" s="3">
        <v>12</v>
      </c>
      <c r="H14" s="28">
        <v>0.4</v>
      </c>
      <c r="I14" s="28">
        <v>0.1</v>
      </c>
      <c r="J14" s="31">
        <f t="shared" si="1"/>
        <v>499900</v>
      </c>
      <c r="K14" s="31">
        <f t="shared" si="2"/>
        <v>1999600</v>
      </c>
      <c r="L14" s="31">
        <f t="shared" si="3"/>
        <v>17996400</v>
      </c>
      <c r="M14" s="31">
        <f t="shared" si="4"/>
        <v>1844117.7941724672</v>
      </c>
      <c r="N14" s="31">
        <f t="shared" si="5"/>
        <v>22129413.530069605</v>
      </c>
      <c r="O14" s="14">
        <f t="shared" si="6"/>
        <v>2133413.5300696045</v>
      </c>
    </row>
    <row r="15" spans="1:21" x14ac:dyDescent="0.25">
      <c r="A15" s="13" t="s">
        <v>80</v>
      </c>
      <c r="B15" s="42">
        <f>VLOOKUP(Table3[[#This Row],[Customer Name]],Table2[],2,0)</f>
        <v>43749</v>
      </c>
      <c r="C15" s="2" t="s">
        <v>85</v>
      </c>
      <c r="D15" s="3">
        <v>3</v>
      </c>
      <c r="E15" s="4">
        <v>3699000</v>
      </c>
      <c r="F15" s="4">
        <f t="shared" si="0"/>
        <v>11097000</v>
      </c>
      <c r="G15" s="3">
        <v>12</v>
      </c>
      <c r="H15" s="28">
        <v>0.4</v>
      </c>
      <c r="I15" s="28">
        <v>0.1</v>
      </c>
      <c r="J15" s="31">
        <f t="shared" si="1"/>
        <v>369900</v>
      </c>
      <c r="K15" s="31">
        <f t="shared" si="2"/>
        <v>1109700</v>
      </c>
      <c r="L15" s="31">
        <f t="shared" si="3"/>
        <v>9987300</v>
      </c>
      <c r="M15" s="31">
        <f t="shared" si="4"/>
        <v>1023413.4407847504</v>
      </c>
      <c r="N15" s="31">
        <f t="shared" si="5"/>
        <v>12280961.289417004</v>
      </c>
      <c r="O15" s="14">
        <f t="shared" si="6"/>
        <v>1183961.2894170042</v>
      </c>
    </row>
    <row r="16" spans="1:21" x14ac:dyDescent="0.25">
      <c r="A16" s="13" t="s">
        <v>81</v>
      </c>
      <c r="B16" s="42">
        <f>VLOOKUP(Table3[[#This Row],[Customer Name]],Table2[],2,0)</f>
        <v>43796</v>
      </c>
      <c r="C16" s="2" t="s">
        <v>29</v>
      </c>
      <c r="D16" s="3">
        <v>8</v>
      </c>
      <c r="E16" s="4">
        <v>3299000</v>
      </c>
      <c r="F16" s="4">
        <f t="shared" si="0"/>
        <v>26392000</v>
      </c>
      <c r="G16" s="3">
        <v>12</v>
      </c>
      <c r="H16" s="28">
        <v>0.4</v>
      </c>
      <c r="I16" s="28">
        <v>0.1</v>
      </c>
      <c r="J16" s="31">
        <f t="shared" si="1"/>
        <v>329900</v>
      </c>
      <c r="K16" s="31">
        <f t="shared" si="2"/>
        <v>2639200</v>
      </c>
      <c r="L16" s="31">
        <f t="shared" si="3"/>
        <v>23752800</v>
      </c>
      <c r="M16" s="31">
        <f t="shared" si="4"/>
        <v>2433984.6381176114</v>
      </c>
      <c r="N16" s="31">
        <f t="shared" si="5"/>
        <v>29207815.657411337</v>
      </c>
      <c r="O16" s="14">
        <f t="shared" si="6"/>
        <v>2815815.6574113369</v>
      </c>
    </row>
    <row r="17" spans="1:15" x14ac:dyDescent="0.25">
      <c r="A17" s="13" t="s">
        <v>82</v>
      </c>
      <c r="B17" s="42">
        <f>VLOOKUP(Table3[[#This Row],[Customer Name]],Table2[],2,0)</f>
        <v>44170</v>
      </c>
      <c r="C17" s="2" t="s">
        <v>18</v>
      </c>
      <c r="D17" s="3">
        <v>9</v>
      </c>
      <c r="E17" s="4">
        <v>2099000</v>
      </c>
      <c r="F17" s="4">
        <f t="shared" si="0"/>
        <v>18891000</v>
      </c>
      <c r="G17" s="3">
        <v>12</v>
      </c>
      <c r="H17" s="28">
        <v>0.4</v>
      </c>
      <c r="I17" s="28">
        <v>0.1</v>
      </c>
      <c r="J17" s="31">
        <f t="shared" si="1"/>
        <v>209900</v>
      </c>
      <c r="K17" s="31">
        <f t="shared" si="2"/>
        <v>1889100</v>
      </c>
      <c r="L17" s="31">
        <f t="shared" si="3"/>
        <v>17001900</v>
      </c>
      <c r="M17" s="31">
        <f t="shared" si="4"/>
        <v>1742209.904466497</v>
      </c>
      <c r="N17" s="31">
        <f t="shared" si="5"/>
        <v>20906518.853597965</v>
      </c>
      <c r="O17" s="14">
        <f t="shared" si="6"/>
        <v>2015518.8535979651</v>
      </c>
    </row>
    <row r="18" spans="1:15" x14ac:dyDescent="0.25">
      <c r="A18" s="16" t="s">
        <v>83</v>
      </c>
      <c r="B18" s="42">
        <f>VLOOKUP(Table3[[#This Row],[Customer Name]],Table2[],2,0)</f>
        <v>43858</v>
      </c>
      <c r="C18" s="24" t="s">
        <v>6</v>
      </c>
      <c r="D18" s="30">
        <v>5</v>
      </c>
      <c r="E18" s="26">
        <v>6299000</v>
      </c>
      <c r="F18" s="26">
        <f t="shared" si="0"/>
        <v>31495000</v>
      </c>
      <c r="G18" s="30">
        <v>12</v>
      </c>
      <c r="H18" s="29">
        <v>0.4</v>
      </c>
      <c r="I18" s="29">
        <v>0.1</v>
      </c>
      <c r="J18" s="32">
        <f t="shared" si="1"/>
        <v>629900</v>
      </c>
      <c r="K18" s="44">
        <f t="shared" si="2"/>
        <v>3149500</v>
      </c>
      <c r="L18" s="32">
        <f t="shared" si="3"/>
        <v>28345500</v>
      </c>
      <c r="M18" s="32">
        <f t="shared" si="4"/>
        <v>2904605.4174565841</v>
      </c>
      <c r="N18" s="32">
        <f t="shared" si="5"/>
        <v>34855265.009479009</v>
      </c>
      <c r="O18" s="35">
        <f t="shared" si="6"/>
        <v>3360265.0094790086</v>
      </c>
    </row>
  </sheetData>
  <mergeCells count="1">
    <mergeCell ref="A1:U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82F4-AAE7-4019-899C-7331A081637F}">
  <dimension ref="A3:B7"/>
  <sheetViews>
    <sheetView workbookViewId="0">
      <selection activeCell="B11" sqref="B11"/>
    </sheetView>
  </sheetViews>
  <sheetFormatPr defaultRowHeight="15" x14ac:dyDescent="0.25"/>
  <cols>
    <col min="1" max="1" width="13.140625" bestFit="1" customWidth="1"/>
    <col min="2" max="2" width="14" bestFit="1" customWidth="1"/>
  </cols>
  <sheetData>
    <row r="3" spans="1:2" x14ac:dyDescent="0.25">
      <c r="A3" s="6" t="s">
        <v>48</v>
      </c>
      <c r="B3" t="s">
        <v>103</v>
      </c>
    </row>
    <row r="4" spans="1:2" x14ac:dyDescent="0.25">
      <c r="A4" s="7" t="s">
        <v>61</v>
      </c>
      <c r="B4" s="50">
        <v>1194630.4909076523</v>
      </c>
    </row>
    <row r="5" spans="1:2" x14ac:dyDescent="0.25">
      <c r="A5" s="7" t="s">
        <v>60</v>
      </c>
      <c r="B5" s="50">
        <v>30999407.60787838</v>
      </c>
    </row>
    <row r="6" spans="1:2" x14ac:dyDescent="0.25">
      <c r="A6" s="7" t="s">
        <v>99</v>
      </c>
      <c r="B6" s="50">
        <v>5375783.8630769737</v>
      </c>
    </row>
    <row r="7" spans="1:2" x14ac:dyDescent="0.25">
      <c r="A7" s="7" t="s">
        <v>49</v>
      </c>
      <c r="B7" s="50">
        <v>37569821.961863011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3160-5A04-465F-88CA-C94322471C35}">
  <dimension ref="A1:J33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2" max="2" width="26.28515625" customWidth="1"/>
    <col min="3" max="3" width="13.7109375" customWidth="1"/>
    <col min="4" max="4" width="12.7109375" customWidth="1"/>
    <col min="5" max="5" width="14.42578125" customWidth="1"/>
    <col min="6" max="6" width="20.7109375" customWidth="1"/>
    <col min="7" max="7" width="17.140625" customWidth="1"/>
    <col min="8" max="8" width="16.85546875" customWidth="1"/>
    <col min="9" max="9" width="18" customWidth="1"/>
    <col min="10" max="10" width="17.28515625" customWidth="1"/>
  </cols>
  <sheetData>
    <row r="1" spans="1:10" x14ac:dyDescent="0.25">
      <c r="A1" s="11" t="s">
        <v>142</v>
      </c>
      <c r="B1" s="27" t="s">
        <v>143</v>
      </c>
      <c r="C1" s="27" t="s">
        <v>88</v>
      </c>
      <c r="D1" s="27" t="s">
        <v>58</v>
      </c>
      <c r="E1" s="27" t="s">
        <v>107</v>
      </c>
      <c r="F1" s="27" t="s">
        <v>144</v>
      </c>
      <c r="G1" s="27" t="s">
        <v>89</v>
      </c>
      <c r="H1" s="27" t="s">
        <v>148</v>
      </c>
      <c r="I1" s="27" t="s">
        <v>145</v>
      </c>
      <c r="J1" s="12" t="s">
        <v>147</v>
      </c>
    </row>
    <row r="2" spans="1:10" x14ac:dyDescent="0.25">
      <c r="A2" s="59">
        <v>43476</v>
      </c>
      <c r="B2" s="2" t="s">
        <v>3</v>
      </c>
      <c r="C2" s="3">
        <v>189</v>
      </c>
      <c r="D2" s="3">
        <f>VLOOKUP(B2,Table11[],3,0)</f>
        <v>200</v>
      </c>
      <c r="E2" s="3">
        <f>D2-C2</f>
        <v>11</v>
      </c>
      <c r="F2" s="33">
        <f>VLOOKUP(B2,Table11[],2,0)</f>
        <v>7999000</v>
      </c>
      <c r="G2" s="4">
        <f>F2*C2</f>
        <v>1511811000</v>
      </c>
      <c r="H2" s="4">
        <f>G2</f>
        <v>1511811000</v>
      </c>
      <c r="I2" s="4">
        <f>F2*E2</f>
        <v>87989000</v>
      </c>
      <c r="J2" s="57">
        <f>H2-I2</f>
        <v>1423822000</v>
      </c>
    </row>
    <row r="3" spans="1:10" x14ac:dyDescent="0.25">
      <c r="A3" s="59">
        <v>43508</v>
      </c>
      <c r="B3" s="2" t="s">
        <v>4</v>
      </c>
      <c r="C3" s="3">
        <v>66</v>
      </c>
      <c r="D3" s="3">
        <f>VLOOKUP(B3,Table11[],3,0)</f>
        <v>200</v>
      </c>
      <c r="E3" s="3">
        <f t="shared" ref="E3:E33" si="0">D3-C3</f>
        <v>134</v>
      </c>
      <c r="F3" s="33">
        <f>VLOOKUP(B3,Table11[],2,0)</f>
        <v>7999000</v>
      </c>
      <c r="G3" s="4">
        <f t="shared" ref="G3:G33" si="1">F3*C3</f>
        <v>527934000</v>
      </c>
      <c r="H3" s="4">
        <f t="shared" ref="H3:H33" si="2">G3</f>
        <v>527934000</v>
      </c>
      <c r="I3" s="4">
        <f t="shared" ref="I3:I33" si="3">F3*E3</f>
        <v>1071866000</v>
      </c>
      <c r="J3" s="57">
        <f t="shared" ref="J3:J32" si="4">H3-I3</f>
        <v>-543932000</v>
      </c>
    </row>
    <row r="4" spans="1:10" x14ac:dyDescent="0.25">
      <c r="A4" s="59">
        <v>43537</v>
      </c>
      <c r="B4" s="2" t="s">
        <v>5</v>
      </c>
      <c r="C4" s="3">
        <v>124</v>
      </c>
      <c r="D4" s="3">
        <f>VLOOKUP(B4,Table11[],3,0)</f>
        <v>200</v>
      </c>
      <c r="E4" s="3">
        <f t="shared" si="0"/>
        <v>76</v>
      </c>
      <c r="F4" s="33">
        <f>VLOOKUP(B4,Table11[],2,0)</f>
        <v>4999000</v>
      </c>
      <c r="G4" s="4">
        <f t="shared" si="1"/>
        <v>619876000</v>
      </c>
      <c r="H4" s="4">
        <f t="shared" si="2"/>
        <v>619876000</v>
      </c>
      <c r="I4" s="4">
        <f t="shared" si="3"/>
        <v>379924000</v>
      </c>
      <c r="J4" s="57">
        <f t="shared" si="4"/>
        <v>239952000</v>
      </c>
    </row>
    <row r="5" spans="1:10" x14ac:dyDescent="0.25">
      <c r="A5" s="59">
        <v>43569</v>
      </c>
      <c r="B5" s="2" t="s">
        <v>6</v>
      </c>
      <c r="C5" s="3">
        <v>124</v>
      </c>
      <c r="D5" s="3">
        <f>VLOOKUP(B5,Table11[],3,0)</f>
        <v>200</v>
      </c>
      <c r="E5" s="3">
        <f t="shared" si="0"/>
        <v>76</v>
      </c>
      <c r="F5" s="33">
        <f>VLOOKUP(B5,Table11[],2,0)</f>
        <v>6299000</v>
      </c>
      <c r="G5" s="4">
        <f t="shared" si="1"/>
        <v>781076000</v>
      </c>
      <c r="H5" s="4">
        <f t="shared" si="2"/>
        <v>781076000</v>
      </c>
      <c r="I5" s="4">
        <f t="shared" si="3"/>
        <v>478724000</v>
      </c>
      <c r="J5" s="57">
        <f t="shared" si="4"/>
        <v>302352000</v>
      </c>
    </row>
    <row r="6" spans="1:10" x14ac:dyDescent="0.25">
      <c r="A6" s="59">
        <v>43600</v>
      </c>
      <c r="B6" s="2" t="s">
        <v>7</v>
      </c>
      <c r="C6" s="3">
        <v>115</v>
      </c>
      <c r="D6" s="3">
        <f>VLOOKUP(B6,Table11[],3,0)</f>
        <v>200</v>
      </c>
      <c r="E6" s="3">
        <f t="shared" si="0"/>
        <v>85</v>
      </c>
      <c r="F6" s="33">
        <f>VLOOKUP(B6,Table11[],2,0)</f>
        <v>8999000</v>
      </c>
      <c r="G6" s="4">
        <f t="shared" si="1"/>
        <v>1034885000</v>
      </c>
      <c r="H6" s="4">
        <f t="shared" si="2"/>
        <v>1034885000</v>
      </c>
      <c r="I6" s="4">
        <f t="shared" si="3"/>
        <v>764915000</v>
      </c>
      <c r="J6" s="57">
        <f t="shared" si="4"/>
        <v>269970000</v>
      </c>
    </row>
    <row r="7" spans="1:10" x14ac:dyDescent="0.25">
      <c r="A7" s="59">
        <v>43632</v>
      </c>
      <c r="B7" s="2" t="s">
        <v>8</v>
      </c>
      <c r="C7" s="3">
        <v>18</v>
      </c>
      <c r="D7" s="3">
        <f>VLOOKUP(B7,Table11[],3,0)</f>
        <v>200</v>
      </c>
      <c r="E7" s="3">
        <f t="shared" si="0"/>
        <v>182</v>
      </c>
      <c r="F7" s="33">
        <f>VLOOKUP(B7,Table11[],2,0)</f>
        <v>9999000</v>
      </c>
      <c r="G7" s="4">
        <f t="shared" si="1"/>
        <v>179982000</v>
      </c>
      <c r="H7" s="4">
        <f t="shared" si="2"/>
        <v>179982000</v>
      </c>
      <c r="I7" s="4">
        <f t="shared" si="3"/>
        <v>1819818000</v>
      </c>
      <c r="J7" s="57">
        <f t="shared" si="4"/>
        <v>-1639836000</v>
      </c>
    </row>
    <row r="8" spans="1:10" x14ac:dyDescent="0.25">
      <c r="A8" s="59">
        <v>43663</v>
      </c>
      <c r="B8" s="2" t="s">
        <v>10</v>
      </c>
      <c r="C8" s="3">
        <v>94</v>
      </c>
      <c r="D8" s="3">
        <f>VLOOKUP(B8,Table11[],3,0)</f>
        <v>200</v>
      </c>
      <c r="E8" s="3">
        <f t="shared" si="0"/>
        <v>106</v>
      </c>
      <c r="F8" s="33">
        <f>VLOOKUP(B8,Table11[],2,0)</f>
        <v>1599000</v>
      </c>
      <c r="G8" s="4">
        <f t="shared" si="1"/>
        <v>150306000</v>
      </c>
      <c r="H8" s="4">
        <f t="shared" si="2"/>
        <v>150306000</v>
      </c>
      <c r="I8" s="4">
        <f t="shared" si="3"/>
        <v>169494000</v>
      </c>
      <c r="J8" s="57">
        <f t="shared" si="4"/>
        <v>-19188000</v>
      </c>
    </row>
    <row r="9" spans="1:10" x14ac:dyDescent="0.25">
      <c r="A9" s="59">
        <v>43695</v>
      </c>
      <c r="B9" s="2" t="s">
        <v>11</v>
      </c>
      <c r="C9" s="3">
        <v>67</v>
      </c>
      <c r="D9" s="3">
        <f>VLOOKUP(B9,Table11[],3,0)</f>
        <v>200</v>
      </c>
      <c r="E9" s="3">
        <f t="shared" si="0"/>
        <v>133</v>
      </c>
      <c r="F9" s="33">
        <f>VLOOKUP(B9,Table11[],2,0)</f>
        <v>1540000</v>
      </c>
      <c r="G9" s="4">
        <f t="shared" si="1"/>
        <v>103180000</v>
      </c>
      <c r="H9" s="4">
        <f t="shared" si="2"/>
        <v>103180000</v>
      </c>
      <c r="I9" s="4">
        <f t="shared" si="3"/>
        <v>204820000</v>
      </c>
      <c r="J9" s="57">
        <f t="shared" si="4"/>
        <v>-101640000</v>
      </c>
    </row>
    <row r="10" spans="1:10" x14ac:dyDescent="0.25">
      <c r="A10" s="59">
        <v>43727</v>
      </c>
      <c r="B10" s="2" t="s">
        <v>12</v>
      </c>
      <c r="C10" s="3">
        <v>176</v>
      </c>
      <c r="D10" s="3">
        <f>VLOOKUP(B10,Table11[],3,0)</f>
        <v>200</v>
      </c>
      <c r="E10" s="3">
        <f t="shared" si="0"/>
        <v>24</v>
      </c>
      <c r="F10" s="33">
        <f>VLOOKUP(B10,Table11[],2,0)</f>
        <v>2149900</v>
      </c>
      <c r="G10" s="4">
        <f t="shared" si="1"/>
        <v>378382400</v>
      </c>
      <c r="H10" s="4">
        <f t="shared" si="2"/>
        <v>378382400</v>
      </c>
      <c r="I10" s="4">
        <f t="shared" si="3"/>
        <v>51597600</v>
      </c>
      <c r="J10" s="57">
        <f t="shared" si="4"/>
        <v>326784800</v>
      </c>
    </row>
    <row r="11" spans="1:10" x14ac:dyDescent="0.25">
      <c r="A11" s="59">
        <v>43758</v>
      </c>
      <c r="B11" s="2" t="s">
        <v>13</v>
      </c>
      <c r="C11" s="3">
        <v>149</v>
      </c>
      <c r="D11" s="3">
        <f>VLOOKUP(B11,Table11[],3,0)</f>
        <v>200</v>
      </c>
      <c r="E11" s="3">
        <f t="shared" si="0"/>
        <v>51</v>
      </c>
      <c r="F11" s="33">
        <f>VLOOKUP(B11,Table11[],2,0)</f>
        <v>1850000</v>
      </c>
      <c r="G11" s="4">
        <f t="shared" si="1"/>
        <v>275650000</v>
      </c>
      <c r="H11" s="4">
        <f t="shared" si="2"/>
        <v>275650000</v>
      </c>
      <c r="I11" s="4">
        <f t="shared" si="3"/>
        <v>94350000</v>
      </c>
      <c r="J11" s="57">
        <f t="shared" si="4"/>
        <v>181300000</v>
      </c>
    </row>
    <row r="12" spans="1:10" x14ac:dyDescent="0.25">
      <c r="A12" s="59">
        <v>43790</v>
      </c>
      <c r="B12" s="2" t="s">
        <v>14</v>
      </c>
      <c r="C12" s="3">
        <v>158</v>
      </c>
      <c r="D12" s="3">
        <f>VLOOKUP(B12,Table11[],3,0)</f>
        <v>200</v>
      </c>
      <c r="E12" s="3">
        <f t="shared" si="0"/>
        <v>42</v>
      </c>
      <c r="F12" s="33">
        <f>VLOOKUP(B12,Table11[],2,0)</f>
        <v>1699000</v>
      </c>
      <c r="G12" s="4">
        <f t="shared" si="1"/>
        <v>268442000</v>
      </c>
      <c r="H12" s="4">
        <f t="shared" si="2"/>
        <v>268442000</v>
      </c>
      <c r="I12" s="4">
        <f t="shared" si="3"/>
        <v>71358000</v>
      </c>
      <c r="J12" s="57">
        <f t="shared" si="4"/>
        <v>197084000</v>
      </c>
    </row>
    <row r="13" spans="1:10" x14ac:dyDescent="0.25">
      <c r="A13" s="59">
        <v>43821</v>
      </c>
      <c r="B13" s="2" t="s">
        <v>15</v>
      </c>
      <c r="C13" s="3">
        <v>125</v>
      </c>
      <c r="D13" s="3">
        <f>VLOOKUP(B13,Table11[],3,0)</f>
        <v>200</v>
      </c>
      <c r="E13" s="3">
        <f t="shared" si="0"/>
        <v>75</v>
      </c>
      <c r="F13" s="33">
        <f>VLOOKUP(B13,Table11[],2,0)</f>
        <v>2250000</v>
      </c>
      <c r="G13" s="4">
        <f t="shared" si="1"/>
        <v>281250000</v>
      </c>
      <c r="H13" s="4">
        <f t="shared" si="2"/>
        <v>281250000</v>
      </c>
      <c r="I13" s="4">
        <f t="shared" si="3"/>
        <v>168750000</v>
      </c>
      <c r="J13" s="57">
        <f t="shared" si="4"/>
        <v>112500000</v>
      </c>
    </row>
    <row r="14" spans="1:10" x14ac:dyDescent="0.25">
      <c r="A14" s="59">
        <v>43853</v>
      </c>
      <c r="B14" s="2" t="s">
        <v>16</v>
      </c>
      <c r="C14" s="3">
        <v>157</v>
      </c>
      <c r="D14" s="3">
        <f>VLOOKUP(B14,Table11[],3,0)</f>
        <v>200</v>
      </c>
      <c r="E14" s="3">
        <f t="shared" si="0"/>
        <v>43</v>
      </c>
      <c r="F14" s="33">
        <f>VLOOKUP(B14,Table11[],2,0)</f>
        <v>1599000</v>
      </c>
      <c r="G14" s="4">
        <f t="shared" si="1"/>
        <v>251043000</v>
      </c>
      <c r="H14" s="4">
        <f t="shared" si="2"/>
        <v>251043000</v>
      </c>
      <c r="I14" s="4">
        <f t="shared" si="3"/>
        <v>68757000</v>
      </c>
      <c r="J14" s="57">
        <f t="shared" si="4"/>
        <v>182286000</v>
      </c>
    </row>
    <row r="15" spans="1:10" x14ac:dyDescent="0.25">
      <c r="A15" s="59">
        <v>43885</v>
      </c>
      <c r="B15" s="2" t="s">
        <v>17</v>
      </c>
      <c r="C15" s="3">
        <v>67</v>
      </c>
      <c r="D15" s="3">
        <f>VLOOKUP(B15,Table11[],3,0)</f>
        <v>200</v>
      </c>
      <c r="E15" s="3">
        <f t="shared" si="0"/>
        <v>133</v>
      </c>
      <c r="F15" s="33">
        <f>VLOOKUP(B15,Table11[],2,0)</f>
        <v>1799000</v>
      </c>
      <c r="G15" s="4">
        <f t="shared" si="1"/>
        <v>120533000</v>
      </c>
      <c r="H15" s="4">
        <f t="shared" si="2"/>
        <v>120533000</v>
      </c>
      <c r="I15" s="4">
        <f t="shared" si="3"/>
        <v>239267000</v>
      </c>
      <c r="J15" s="57">
        <f t="shared" si="4"/>
        <v>-118734000</v>
      </c>
    </row>
    <row r="16" spans="1:10" x14ac:dyDescent="0.25">
      <c r="A16" s="59">
        <v>43915</v>
      </c>
      <c r="B16" s="2" t="s">
        <v>18</v>
      </c>
      <c r="C16" s="3">
        <v>75</v>
      </c>
      <c r="D16" s="3">
        <f>VLOOKUP(B16,Table11[],3,0)</f>
        <v>200</v>
      </c>
      <c r="E16" s="3">
        <f t="shared" si="0"/>
        <v>125</v>
      </c>
      <c r="F16" s="33">
        <f>VLOOKUP(B16,Table11[],2,0)</f>
        <v>2099000</v>
      </c>
      <c r="G16" s="4">
        <f t="shared" si="1"/>
        <v>157425000</v>
      </c>
      <c r="H16" s="4">
        <f t="shared" si="2"/>
        <v>157425000</v>
      </c>
      <c r="I16" s="4">
        <f t="shared" si="3"/>
        <v>262375000</v>
      </c>
      <c r="J16" s="57">
        <f t="shared" si="4"/>
        <v>-104950000</v>
      </c>
    </row>
    <row r="17" spans="1:10" x14ac:dyDescent="0.25">
      <c r="A17" s="59">
        <v>43947</v>
      </c>
      <c r="B17" s="2" t="s">
        <v>19</v>
      </c>
      <c r="C17" s="3">
        <v>172</v>
      </c>
      <c r="D17" s="3">
        <f>VLOOKUP(B17,Table11[],3,0)</f>
        <v>200</v>
      </c>
      <c r="E17" s="3">
        <f t="shared" si="0"/>
        <v>28</v>
      </c>
      <c r="F17" s="33">
        <f>VLOOKUP(B17,Table11[],2,0)</f>
        <v>3699000</v>
      </c>
      <c r="G17" s="4">
        <f t="shared" si="1"/>
        <v>636228000</v>
      </c>
      <c r="H17" s="4">
        <f t="shared" si="2"/>
        <v>636228000</v>
      </c>
      <c r="I17" s="4">
        <f t="shared" si="3"/>
        <v>103572000</v>
      </c>
      <c r="J17" s="57">
        <f t="shared" si="4"/>
        <v>532656000</v>
      </c>
    </row>
    <row r="18" spans="1:10" x14ac:dyDescent="0.25">
      <c r="A18" s="59">
        <v>43978</v>
      </c>
      <c r="B18" s="2" t="s">
        <v>21</v>
      </c>
      <c r="C18" s="3">
        <v>88</v>
      </c>
      <c r="D18" s="3">
        <f>VLOOKUP(B18,Table11[],3,0)</f>
        <v>200</v>
      </c>
      <c r="E18" s="3">
        <f t="shared" si="0"/>
        <v>112</v>
      </c>
      <c r="F18" s="33">
        <f>VLOOKUP(B18,Table11[],2,0)</f>
        <v>3299000</v>
      </c>
      <c r="G18" s="4">
        <f t="shared" si="1"/>
        <v>290312000</v>
      </c>
      <c r="H18" s="4">
        <f t="shared" si="2"/>
        <v>290312000</v>
      </c>
      <c r="I18" s="4">
        <f t="shared" si="3"/>
        <v>369488000</v>
      </c>
      <c r="J18" s="57">
        <f t="shared" si="4"/>
        <v>-79176000</v>
      </c>
    </row>
    <row r="19" spans="1:10" x14ac:dyDescent="0.25">
      <c r="A19" s="59">
        <v>44010</v>
      </c>
      <c r="B19" s="2" t="s">
        <v>22</v>
      </c>
      <c r="C19" s="3">
        <v>92</v>
      </c>
      <c r="D19" s="3">
        <f>VLOOKUP(B19,Table11[],3,0)</f>
        <v>200</v>
      </c>
      <c r="E19" s="3">
        <f t="shared" si="0"/>
        <v>108</v>
      </c>
      <c r="F19" s="33">
        <f>VLOOKUP(B19,Table11[],2,0)</f>
        <v>3699000</v>
      </c>
      <c r="G19" s="4">
        <f t="shared" si="1"/>
        <v>340308000</v>
      </c>
      <c r="H19" s="4">
        <f t="shared" si="2"/>
        <v>340308000</v>
      </c>
      <c r="I19" s="4">
        <f t="shared" si="3"/>
        <v>399492000</v>
      </c>
      <c r="J19" s="57">
        <f t="shared" si="4"/>
        <v>-59184000</v>
      </c>
    </row>
    <row r="20" spans="1:10" x14ac:dyDescent="0.25">
      <c r="A20" s="59">
        <v>44041</v>
      </c>
      <c r="B20" s="2" t="s">
        <v>23</v>
      </c>
      <c r="C20" s="3">
        <v>149</v>
      </c>
      <c r="D20" s="3">
        <f>VLOOKUP(B20,Table11[],3,0)</f>
        <v>200</v>
      </c>
      <c r="E20" s="3">
        <f t="shared" si="0"/>
        <v>51</v>
      </c>
      <c r="F20" s="33">
        <f>VLOOKUP(B20,Table11[],2,0)</f>
        <v>1700000</v>
      </c>
      <c r="G20" s="4">
        <f t="shared" si="1"/>
        <v>253300000</v>
      </c>
      <c r="H20" s="4">
        <f t="shared" si="2"/>
        <v>253300000</v>
      </c>
      <c r="I20" s="4">
        <f t="shared" si="3"/>
        <v>86700000</v>
      </c>
      <c r="J20" s="57">
        <f t="shared" si="4"/>
        <v>166600000</v>
      </c>
    </row>
    <row r="21" spans="1:10" x14ac:dyDescent="0.25">
      <c r="A21" s="59">
        <v>44073</v>
      </c>
      <c r="B21" s="2" t="s">
        <v>24</v>
      </c>
      <c r="C21" s="3">
        <v>144</v>
      </c>
      <c r="D21" s="3">
        <f>VLOOKUP(B21,Table11[],3,0)</f>
        <v>200</v>
      </c>
      <c r="E21" s="3">
        <f t="shared" si="0"/>
        <v>56</v>
      </c>
      <c r="F21" s="33">
        <f>VLOOKUP(B21,Table11[],2,0)</f>
        <v>1750000</v>
      </c>
      <c r="G21" s="4">
        <f t="shared" si="1"/>
        <v>252000000</v>
      </c>
      <c r="H21" s="4">
        <f t="shared" si="2"/>
        <v>252000000</v>
      </c>
      <c r="I21" s="4">
        <f t="shared" si="3"/>
        <v>98000000</v>
      </c>
      <c r="J21" s="57">
        <f t="shared" si="4"/>
        <v>154000000</v>
      </c>
    </row>
    <row r="22" spans="1:10" x14ac:dyDescent="0.25">
      <c r="A22" s="59" t="s">
        <v>151</v>
      </c>
      <c r="B22" s="2" t="s">
        <v>25</v>
      </c>
      <c r="C22" s="3">
        <v>111</v>
      </c>
      <c r="D22" s="3">
        <f>VLOOKUP(B22,Table11[],3,0)</f>
        <v>200</v>
      </c>
      <c r="E22" s="3">
        <f t="shared" si="0"/>
        <v>89</v>
      </c>
      <c r="F22" s="33">
        <f>VLOOKUP(B22,Table11[],2,0)</f>
        <v>1350000</v>
      </c>
      <c r="G22" s="4">
        <f t="shared" si="1"/>
        <v>149850000</v>
      </c>
      <c r="H22" s="4">
        <f t="shared" si="2"/>
        <v>149850000</v>
      </c>
      <c r="I22" s="4">
        <f t="shared" si="3"/>
        <v>120150000</v>
      </c>
      <c r="J22" s="57">
        <f t="shared" si="4"/>
        <v>29700000</v>
      </c>
    </row>
    <row r="23" spans="1:10" x14ac:dyDescent="0.25">
      <c r="A23" s="59">
        <v>44105</v>
      </c>
      <c r="B23" s="2" t="s">
        <v>28</v>
      </c>
      <c r="C23" s="3">
        <v>149</v>
      </c>
      <c r="D23" s="3">
        <f>VLOOKUP(B23,Table11[],3,0)</f>
        <v>200</v>
      </c>
      <c r="E23" s="3">
        <f t="shared" si="0"/>
        <v>51</v>
      </c>
      <c r="F23" s="33">
        <f>VLOOKUP(B23,Table11[],2,0)</f>
        <v>1999000</v>
      </c>
      <c r="G23" s="4">
        <f t="shared" si="1"/>
        <v>297851000</v>
      </c>
      <c r="H23" s="4">
        <f t="shared" si="2"/>
        <v>297851000</v>
      </c>
      <c r="I23" s="4">
        <f t="shared" si="3"/>
        <v>101949000</v>
      </c>
      <c r="J23" s="57">
        <f t="shared" si="4"/>
        <v>195902000</v>
      </c>
    </row>
    <row r="24" spans="1:10" x14ac:dyDescent="0.25">
      <c r="A24" s="59">
        <v>44137</v>
      </c>
      <c r="B24" s="2" t="s">
        <v>26</v>
      </c>
      <c r="C24" s="3">
        <v>140</v>
      </c>
      <c r="D24" s="3">
        <f>VLOOKUP(B24,Table11[],3,0)</f>
        <v>200</v>
      </c>
      <c r="E24" s="3">
        <f t="shared" si="0"/>
        <v>60</v>
      </c>
      <c r="F24" s="33">
        <f>VLOOKUP(B24,Table11[],2,0)</f>
        <v>1699000</v>
      </c>
      <c r="G24" s="4">
        <f t="shared" si="1"/>
        <v>237860000</v>
      </c>
      <c r="H24" s="4">
        <f t="shared" si="2"/>
        <v>237860000</v>
      </c>
      <c r="I24" s="4">
        <f t="shared" si="3"/>
        <v>101940000</v>
      </c>
      <c r="J24" s="57">
        <f t="shared" si="4"/>
        <v>135920000</v>
      </c>
    </row>
    <row r="25" spans="1:10" x14ac:dyDescent="0.25">
      <c r="A25" s="59">
        <v>44168</v>
      </c>
      <c r="B25" s="2" t="s">
        <v>27</v>
      </c>
      <c r="C25" s="3">
        <v>97</v>
      </c>
      <c r="D25" s="3">
        <f>VLOOKUP(B25,Table11[],3,0)</f>
        <v>200</v>
      </c>
      <c r="E25" s="3">
        <f t="shared" si="0"/>
        <v>103</v>
      </c>
      <c r="F25" s="33">
        <f>VLOOKUP(B25,Table11[],2,0)</f>
        <v>2350000</v>
      </c>
      <c r="G25" s="4">
        <f t="shared" si="1"/>
        <v>227950000</v>
      </c>
      <c r="H25" s="4">
        <f t="shared" si="2"/>
        <v>227950000</v>
      </c>
      <c r="I25" s="4">
        <f t="shared" si="3"/>
        <v>242050000</v>
      </c>
      <c r="J25" s="57">
        <f t="shared" si="4"/>
        <v>-14100000</v>
      </c>
    </row>
    <row r="26" spans="1:10" x14ac:dyDescent="0.25">
      <c r="A26" s="59">
        <v>44200</v>
      </c>
      <c r="B26" s="2" t="s">
        <v>29</v>
      </c>
      <c r="C26" s="3">
        <v>148</v>
      </c>
      <c r="D26" s="3">
        <f>VLOOKUP(B26,Table11[],3,0)</f>
        <v>200</v>
      </c>
      <c r="E26" s="3">
        <f t="shared" si="0"/>
        <v>52</v>
      </c>
      <c r="F26" s="33">
        <f>VLOOKUP(B26,Table11[],2,0)</f>
        <v>3299000</v>
      </c>
      <c r="G26" s="4">
        <f t="shared" si="1"/>
        <v>488252000</v>
      </c>
      <c r="H26" s="4">
        <f t="shared" si="2"/>
        <v>488252000</v>
      </c>
      <c r="I26" s="4">
        <f t="shared" si="3"/>
        <v>171548000</v>
      </c>
      <c r="J26" s="57">
        <f t="shared" si="4"/>
        <v>316704000</v>
      </c>
    </row>
    <row r="27" spans="1:10" x14ac:dyDescent="0.25">
      <c r="A27" s="59">
        <v>44232</v>
      </c>
      <c r="B27" s="2" t="s">
        <v>30</v>
      </c>
      <c r="C27" s="3">
        <v>167</v>
      </c>
      <c r="D27" s="3">
        <f>VLOOKUP(B27,Table11[],3,0)</f>
        <v>200</v>
      </c>
      <c r="E27" s="3">
        <f t="shared" si="0"/>
        <v>33</v>
      </c>
      <c r="F27" s="33">
        <f>VLOOKUP(B27,Table11[],2,0)</f>
        <v>2249000</v>
      </c>
      <c r="G27" s="4">
        <f t="shared" si="1"/>
        <v>375583000</v>
      </c>
      <c r="H27" s="4">
        <f t="shared" si="2"/>
        <v>375583000</v>
      </c>
      <c r="I27" s="4">
        <f t="shared" si="3"/>
        <v>74217000</v>
      </c>
      <c r="J27" s="57">
        <f t="shared" si="4"/>
        <v>301366000</v>
      </c>
    </row>
    <row r="28" spans="1:10" x14ac:dyDescent="0.25">
      <c r="A28" s="59">
        <v>44261</v>
      </c>
      <c r="B28" s="2" t="s">
        <v>31</v>
      </c>
      <c r="C28" s="3">
        <v>113</v>
      </c>
      <c r="D28" s="3">
        <f>VLOOKUP(B28,Table11[],3,0)</f>
        <v>200</v>
      </c>
      <c r="E28" s="3">
        <f t="shared" si="0"/>
        <v>87</v>
      </c>
      <c r="F28" s="33">
        <f>VLOOKUP(B28,Table11[],2,0)</f>
        <v>2699000</v>
      </c>
      <c r="G28" s="4">
        <f t="shared" si="1"/>
        <v>304987000</v>
      </c>
      <c r="H28" s="4">
        <f t="shared" si="2"/>
        <v>304987000</v>
      </c>
      <c r="I28" s="4">
        <f t="shared" si="3"/>
        <v>234813000</v>
      </c>
      <c r="J28" s="57">
        <f t="shared" si="4"/>
        <v>70174000</v>
      </c>
    </row>
    <row r="29" spans="1:10" x14ac:dyDescent="0.25">
      <c r="A29" s="59">
        <v>44293</v>
      </c>
      <c r="B29" s="2" t="s">
        <v>32</v>
      </c>
      <c r="C29" s="3">
        <v>76</v>
      </c>
      <c r="D29" s="3">
        <f>VLOOKUP(B29,Table11[],3,0)</f>
        <v>200</v>
      </c>
      <c r="E29" s="3">
        <f t="shared" si="0"/>
        <v>124</v>
      </c>
      <c r="F29" s="33">
        <f>VLOOKUP(B29,Table11[],2,0)</f>
        <v>3299000</v>
      </c>
      <c r="G29" s="4">
        <f t="shared" si="1"/>
        <v>250724000</v>
      </c>
      <c r="H29" s="4">
        <f t="shared" si="2"/>
        <v>250724000</v>
      </c>
      <c r="I29" s="4">
        <f t="shared" si="3"/>
        <v>409076000</v>
      </c>
      <c r="J29" s="57">
        <f t="shared" si="4"/>
        <v>-158352000</v>
      </c>
    </row>
    <row r="30" spans="1:10" x14ac:dyDescent="0.25">
      <c r="A30" s="59">
        <v>44324</v>
      </c>
      <c r="B30" s="2" t="s">
        <v>34</v>
      </c>
      <c r="C30" s="3">
        <v>49</v>
      </c>
      <c r="D30" s="3">
        <f>VLOOKUP(B30,Table11[],3,0)</f>
        <v>200</v>
      </c>
      <c r="E30" s="3">
        <f t="shared" si="0"/>
        <v>151</v>
      </c>
      <c r="F30" s="33">
        <f>VLOOKUP(B30,Table11[],2,0)</f>
        <v>9999000</v>
      </c>
      <c r="G30" s="4">
        <f t="shared" si="1"/>
        <v>489951000</v>
      </c>
      <c r="H30" s="4">
        <f t="shared" si="2"/>
        <v>489951000</v>
      </c>
      <c r="I30" s="4">
        <f t="shared" si="3"/>
        <v>1509849000</v>
      </c>
      <c r="J30" s="57">
        <f t="shared" si="4"/>
        <v>-1019898000</v>
      </c>
    </row>
    <row r="31" spans="1:10" x14ac:dyDescent="0.25">
      <c r="A31" s="59">
        <v>44356</v>
      </c>
      <c r="B31" s="2" t="s">
        <v>35</v>
      </c>
      <c r="C31" s="3">
        <v>55</v>
      </c>
      <c r="D31" s="3">
        <f>VLOOKUP(B31,Table11[],3,0)</f>
        <v>200</v>
      </c>
      <c r="E31" s="3">
        <f t="shared" si="0"/>
        <v>145</v>
      </c>
      <c r="F31" s="33">
        <f>VLOOKUP(B31,Table11[],2,0)</f>
        <v>10299000</v>
      </c>
      <c r="G31" s="4">
        <f t="shared" si="1"/>
        <v>566445000</v>
      </c>
      <c r="H31" s="4">
        <f t="shared" si="2"/>
        <v>566445000</v>
      </c>
      <c r="I31" s="4">
        <f t="shared" si="3"/>
        <v>1493355000</v>
      </c>
      <c r="J31" s="57">
        <f t="shared" si="4"/>
        <v>-926910000</v>
      </c>
    </row>
    <row r="32" spans="1:10" x14ac:dyDescent="0.25">
      <c r="A32" s="59">
        <v>44387</v>
      </c>
      <c r="B32" s="2" t="s">
        <v>36</v>
      </c>
      <c r="C32" s="3">
        <v>185</v>
      </c>
      <c r="D32" s="3">
        <f>VLOOKUP(B32,Table11[],3,0)</f>
        <v>200</v>
      </c>
      <c r="E32" s="3">
        <f t="shared" si="0"/>
        <v>15</v>
      </c>
      <c r="F32" s="33">
        <f>VLOOKUP(B32,Table11[],2,0)</f>
        <v>3999000</v>
      </c>
      <c r="G32" s="4">
        <f t="shared" si="1"/>
        <v>739815000</v>
      </c>
      <c r="H32" s="4">
        <f t="shared" si="2"/>
        <v>739815000</v>
      </c>
      <c r="I32" s="4">
        <f t="shared" si="3"/>
        <v>59985000</v>
      </c>
      <c r="J32" s="57">
        <f t="shared" si="4"/>
        <v>679830000</v>
      </c>
    </row>
    <row r="33" spans="1:10" x14ac:dyDescent="0.25">
      <c r="A33" s="59">
        <v>44419</v>
      </c>
      <c r="B33" s="24" t="s">
        <v>37</v>
      </c>
      <c r="C33" s="30">
        <v>111</v>
      </c>
      <c r="D33" s="30">
        <f>VLOOKUP(B33,Table11[],3,0)</f>
        <v>200</v>
      </c>
      <c r="E33" s="30">
        <f t="shared" si="0"/>
        <v>89</v>
      </c>
      <c r="F33" s="34">
        <f>VLOOKUP(B33,Table11[],2,0)</f>
        <v>5999000</v>
      </c>
      <c r="G33" s="26">
        <f t="shared" si="1"/>
        <v>665889000</v>
      </c>
      <c r="H33" s="26">
        <f t="shared" si="2"/>
        <v>665889000</v>
      </c>
      <c r="I33" s="26">
        <f t="shared" si="3"/>
        <v>533911000</v>
      </c>
      <c r="J33" s="58">
        <f>H33-I33</f>
        <v>131978000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FD65-B4A5-4718-9C05-C420C64C2FF0}">
  <dimension ref="A1:C36"/>
  <sheetViews>
    <sheetView workbookViewId="0">
      <selection activeCell="F4" sqref="F4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17.7109375" bestFit="1" customWidth="1"/>
  </cols>
  <sheetData>
    <row r="1" spans="1:3" x14ac:dyDescent="0.25">
      <c r="A1" s="6" t="s">
        <v>143</v>
      </c>
      <c r="B1" t="s">
        <v>146</v>
      </c>
    </row>
    <row r="3" spans="1:3" x14ac:dyDescent="0.25">
      <c r="A3" s="6" t="s">
        <v>48</v>
      </c>
      <c r="B3" t="s">
        <v>149</v>
      </c>
      <c r="C3" t="s">
        <v>150</v>
      </c>
    </row>
    <row r="4" spans="1:3" x14ac:dyDescent="0.25">
      <c r="A4" s="7" t="s">
        <v>151</v>
      </c>
      <c r="B4" s="50">
        <v>29700000</v>
      </c>
      <c r="C4" s="50">
        <v>120150000</v>
      </c>
    </row>
    <row r="5" spans="1:3" x14ac:dyDescent="0.25">
      <c r="A5" s="61">
        <v>43476</v>
      </c>
      <c r="B5" s="50">
        <v>1423822000</v>
      </c>
      <c r="C5" s="50">
        <v>87989000</v>
      </c>
    </row>
    <row r="6" spans="1:3" x14ac:dyDescent="0.25">
      <c r="A6" s="61">
        <v>43508</v>
      </c>
      <c r="B6" s="50">
        <v>-543932000</v>
      </c>
      <c r="C6" s="50">
        <v>1071866000</v>
      </c>
    </row>
    <row r="7" spans="1:3" x14ac:dyDescent="0.25">
      <c r="A7" s="61">
        <v>43537</v>
      </c>
      <c r="B7" s="50">
        <v>239952000</v>
      </c>
      <c r="C7" s="50">
        <v>379924000</v>
      </c>
    </row>
    <row r="8" spans="1:3" x14ac:dyDescent="0.25">
      <c r="A8" s="61">
        <v>43569</v>
      </c>
      <c r="B8" s="50">
        <v>302352000</v>
      </c>
      <c r="C8" s="50">
        <v>478724000</v>
      </c>
    </row>
    <row r="9" spans="1:3" x14ac:dyDescent="0.25">
      <c r="A9" s="61">
        <v>43600</v>
      </c>
      <c r="B9" s="50">
        <v>269970000</v>
      </c>
      <c r="C9" s="50">
        <v>764915000</v>
      </c>
    </row>
    <row r="10" spans="1:3" x14ac:dyDescent="0.25">
      <c r="A10" s="61">
        <v>43632</v>
      </c>
      <c r="B10" s="50">
        <v>-1639836000</v>
      </c>
      <c r="C10" s="50">
        <v>1819818000</v>
      </c>
    </row>
    <row r="11" spans="1:3" x14ac:dyDescent="0.25">
      <c r="A11" s="61">
        <v>43663</v>
      </c>
      <c r="B11" s="50">
        <v>-19188000</v>
      </c>
      <c r="C11" s="50">
        <v>169494000</v>
      </c>
    </row>
    <row r="12" spans="1:3" x14ac:dyDescent="0.25">
      <c r="A12" s="61">
        <v>43695</v>
      </c>
      <c r="B12" s="50">
        <v>-101640000</v>
      </c>
      <c r="C12" s="50">
        <v>204820000</v>
      </c>
    </row>
    <row r="13" spans="1:3" x14ac:dyDescent="0.25">
      <c r="A13" s="61">
        <v>43727</v>
      </c>
      <c r="B13" s="50">
        <v>326784800</v>
      </c>
      <c r="C13" s="50">
        <v>51597600</v>
      </c>
    </row>
    <row r="14" spans="1:3" x14ac:dyDescent="0.25">
      <c r="A14" s="61">
        <v>43758</v>
      </c>
      <c r="B14" s="50">
        <v>181300000</v>
      </c>
      <c r="C14" s="50">
        <v>94350000</v>
      </c>
    </row>
    <row r="15" spans="1:3" x14ac:dyDescent="0.25">
      <c r="A15" s="61">
        <v>43790</v>
      </c>
      <c r="B15" s="50">
        <v>197084000</v>
      </c>
      <c r="C15" s="50">
        <v>71358000</v>
      </c>
    </row>
    <row r="16" spans="1:3" x14ac:dyDescent="0.25">
      <c r="A16" s="61">
        <v>43821</v>
      </c>
      <c r="B16" s="50">
        <v>112500000</v>
      </c>
      <c r="C16" s="50">
        <v>168750000</v>
      </c>
    </row>
    <row r="17" spans="1:3" x14ac:dyDescent="0.25">
      <c r="A17" s="61">
        <v>43853</v>
      </c>
      <c r="B17" s="50">
        <v>182286000</v>
      </c>
      <c r="C17" s="50">
        <v>68757000</v>
      </c>
    </row>
    <row r="18" spans="1:3" x14ac:dyDescent="0.25">
      <c r="A18" s="61">
        <v>43885</v>
      </c>
      <c r="B18" s="50">
        <v>-118734000</v>
      </c>
      <c r="C18" s="50">
        <v>239267000</v>
      </c>
    </row>
    <row r="19" spans="1:3" x14ac:dyDescent="0.25">
      <c r="A19" s="61">
        <v>43915</v>
      </c>
      <c r="B19" s="50">
        <v>-104950000</v>
      </c>
      <c r="C19" s="50">
        <v>262375000</v>
      </c>
    </row>
    <row r="20" spans="1:3" x14ac:dyDescent="0.25">
      <c r="A20" s="61">
        <v>43947</v>
      </c>
      <c r="B20" s="50">
        <v>532656000</v>
      </c>
      <c r="C20" s="50">
        <v>103572000</v>
      </c>
    </row>
    <row r="21" spans="1:3" x14ac:dyDescent="0.25">
      <c r="A21" s="61">
        <v>43978</v>
      </c>
      <c r="B21" s="50">
        <v>-79176000</v>
      </c>
      <c r="C21" s="50">
        <v>369488000</v>
      </c>
    </row>
    <row r="22" spans="1:3" x14ac:dyDescent="0.25">
      <c r="A22" s="61">
        <v>44010</v>
      </c>
      <c r="B22" s="50">
        <v>-59184000</v>
      </c>
      <c r="C22" s="50">
        <v>399492000</v>
      </c>
    </row>
    <row r="23" spans="1:3" x14ac:dyDescent="0.25">
      <c r="A23" s="61">
        <v>44041</v>
      </c>
      <c r="B23" s="50">
        <v>166600000</v>
      </c>
      <c r="C23" s="50">
        <v>86700000</v>
      </c>
    </row>
    <row r="24" spans="1:3" x14ac:dyDescent="0.25">
      <c r="A24" s="61">
        <v>44073</v>
      </c>
      <c r="B24" s="50">
        <v>154000000</v>
      </c>
      <c r="C24" s="50">
        <v>98000000</v>
      </c>
    </row>
    <row r="25" spans="1:3" x14ac:dyDescent="0.25">
      <c r="A25" s="61">
        <v>44105</v>
      </c>
      <c r="B25" s="50">
        <v>195902000</v>
      </c>
      <c r="C25" s="50">
        <v>101949000</v>
      </c>
    </row>
    <row r="26" spans="1:3" x14ac:dyDescent="0.25">
      <c r="A26" s="61">
        <v>44137</v>
      </c>
      <c r="B26" s="50">
        <v>135920000</v>
      </c>
      <c r="C26" s="50">
        <v>101940000</v>
      </c>
    </row>
    <row r="27" spans="1:3" x14ac:dyDescent="0.25">
      <c r="A27" s="61">
        <v>44168</v>
      </c>
      <c r="B27" s="50">
        <v>-14100000</v>
      </c>
      <c r="C27" s="50">
        <v>242050000</v>
      </c>
    </row>
    <row r="28" spans="1:3" x14ac:dyDescent="0.25">
      <c r="A28" s="61">
        <v>44200</v>
      </c>
      <c r="B28" s="50">
        <v>316704000</v>
      </c>
      <c r="C28" s="50">
        <v>171548000</v>
      </c>
    </row>
    <row r="29" spans="1:3" x14ac:dyDescent="0.25">
      <c r="A29" s="61">
        <v>44232</v>
      </c>
      <c r="B29" s="50">
        <v>301366000</v>
      </c>
      <c r="C29" s="50">
        <v>74217000</v>
      </c>
    </row>
    <row r="30" spans="1:3" x14ac:dyDescent="0.25">
      <c r="A30" s="61">
        <v>44261</v>
      </c>
      <c r="B30" s="50">
        <v>70174000</v>
      </c>
      <c r="C30" s="50">
        <v>234813000</v>
      </c>
    </row>
    <row r="31" spans="1:3" x14ac:dyDescent="0.25">
      <c r="A31" s="61">
        <v>44293</v>
      </c>
      <c r="B31" s="50">
        <v>-158352000</v>
      </c>
      <c r="C31" s="50">
        <v>409076000</v>
      </c>
    </row>
    <row r="32" spans="1:3" x14ac:dyDescent="0.25">
      <c r="A32" s="61">
        <v>44324</v>
      </c>
      <c r="B32" s="50">
        <v>-1019898000</v>
      </c>
      <c r="C32" s="50">
        <v>1509849000</v>
      </c>
    </row>
    <row r="33" spans="1:3" x14ac:dyDescent="0.25">
      <c r="A33" s="61">
        <v>44356</v>
      </c>
      <c r="B33" s="50">
        <v>-926910000</v>
      </c>
      <c r="C33" s="50">
        <v>1493355000</v>
      </c>
    </row>
    <row r="34" spans="1:3" x14ac:dyDescent="0.25">
      <c r="A34" s="61">
        <v>44387</v>
      </c>
      <c r="B34" s="50">
        <v>679830000</v>
      </c>
      <c r="C34" s="50">
        <v>59985000</v>
      </c>
    </row>
    <row r="35" spans="1:3" x14ac:dyDescent="0.25">
      <c r="A35" s="61">
        <v>44419</v>
      </c>
      <c r="B35" s="50">
        <v>131978000</v>
      </c>
      <c r="C35" s="50">
        <v>533911000</v>
      </c>
    </row>
    <row r="36" spans="1:3" x14ac:dyDescent="0.25">
      <c r="A36" s="7" t="s">
        <v>49</v>
      </c>
      <c r="B36" s="50">
        <v>1164980800</v>
      </c>
      <c r="C36" s="50">
        <v>12044099600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0F3F-70CB-4A8E-998F-DB78E26D3711}">
  <dimension ref="A1:G4"/>
  <sheetViews>
    <sheetView workbookViewId="0">
      <selection activeCell="G1" sqref="G1"/>
    </sheetView>
  </sheetViews>
  <sheetFormatPr defaultRowHeight="15" x14ac:dyDescent="0.25"/>
  <cols>
    <col min="1" max="1" width="11.5703125" customWidth="1"/>
    <col min="2" max="2" width="10.5703125" customWidth="1"/>
    <col min="3" max="3" width="10.28515625" customWidth="1"/>
  </cols>
  <sheetData>
    <row r="1" spans="1:7" x14ac:dyDescent="0.25">
      <c r="A1" s="82" t="s">
        <v>196</v>
      </c>
      <c r="B1" s="82" t="s">
        <v>197</v>
      </c>
      <c r="C1" s="82" t="s">
        <v>198</v>
      </c>
      <c r="E1" s="84" t="s">
        <v>207</v>
      </c>
      <c r="F1" s="84" t="s">
        <v>208</v>
      </c>
      <c r="G1" s="84" t="s">
        <v>209</v>
      </c>
    </row>
    <row r="2" spans="1:7" x14ac:dyDescent="0.25">
      <c r="A2" s="83" t="s">
        <v>199</v>
      </c>
      <c r="B2" s="83" t="s">
        <v>202</v>
      </c>
      <c r="C2" s="83" t="s">
        <v>205</v>
      </c>
      <c r="F2" s="53"/>
    </row>
    <row r="3" spans="1:7" x14ac:dyDescent="0.25">
      <c r="A3" s="83" t="s">
        <v>200</v>
      </c>
      <c r="B3" s="83" t="s">
        <v>203</v>
      </c>
      <c r="C3" s="83" t="s">
        <v>205</v>
      </c>
    </row>
    <row r="4" spans="1:7" x14ac:dyDescent="0.25">
      <c r="A4" s="83" t="s">
        <v>201</v>
      </c>
      <c r="B4" s="83" t="s">
        <v>204</v>
      </c>
      <c r="C4" s="83" t="s">
        <v>206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94CE-184D-42EF-9931-0B45D375CEF4}">
  <dimension ref="A1:S34"/>
  <sheetViews>
    <sheetView topLeftCell="A28" workbookViewId="0">
      <selection activeCell="F4" sqref="F4"/>
    </sheetView>
  </sheetViews>
  <sheetFormatPr defaultRowHeight="15" x14ac:dyDescent="0.25"/>
  <cols>
    <col min="1" max="1" width="30.28515625" customWidth="1"/>
    <col min="2" max="2" width="22.7109375" customWidth="1"/>
    <col min="3" max="3" width="16.140625" customWidth="1"/>
    <col min="4" max="4" width="18.42578125" customWidth="1"/>
    <col min="5" max="5" width="31" customWidth="1"/>
    <col min="6" max="6" width="16.85546875" customWidth="1"/>
    <col min="7" max="9" width="9.140625" customWidth="1"/>
  </cols>
  <sheetData>
    <row r="1" spans="1:19" ht="56.25" customHeight="1" x14ac:dyDescent="0.7">
      <c r="A1" s="87" t="s">
        <v>38</v>
      </c>
      <c r="B1" s="87"/>
      <c r="C1" s="87"/>
      <c r="D1" s="87"/>
      <c r="E1" s="87"/>
      <c r="F1" s="5"/>
      <c r="G1" s="5"/>
      <c r="H1" s="5"/>
      <c r="I1" s="5"/>
      <c r="J1" s="5"/>
      <c r="K1" s="5"/>
      <c r="L1" s="5"/>
      <c r="M1" s="5"/>
      <c r="N1" s="18"/>
      <c r="O1" s="18"/>
      <c r="P1" s="18"/>
      <c r="Q1" s="18"/>
      <c r="R1" s="18"/>
      <c r="S1" s="18"/>
    </row>
    <row r="2" spans="1:19" x14ac:dyDescent="0.25">
      <c r="A2" s="1" t="s">
        <v>1</v>
      </c>
      <c r="B2" s="1" t="s">
        <v>2</v>
      </c>
      <c r="C2" s="1" t="s">
        <v>58</v>
      </c>
      <c r="D2" s="1" t="s">
        <v>50</v>
      </c>
      <c r="E2" s="1" t="s">
        <v>57</v>
      </c>
      <c r="F2" s="51" t="s">
        <v>108</v>
      </c>
    </row>
    <row r="3" spans="1:19" x14ac:dyDescent="0.25">
      <c r="A3" t="s">
        <v>3</v>
      </c>
      <c r="B3" s="10">
        <f>VLOOKUP(Table11[[#This Row],[Type]],List!$A$4:$C$45,2,0)</f>
        <v>7999000</v>
      </c>
      <c r="C3" s="1">
        <v>200</v>
      </c>
      <c r="D3" s="1" t="s">
        <v>51</v>
      </c>
      <c r="E3" s="9">
        <v>43689</v>
      </c>
      <c r="F3" t="str">
        <f>VLOOKUP(Table11[[#This Row],[Type]],List!A4:C45,3,0)</f>
        <v>P-SMRT-SRN0100</v>
      </c>
    </row>
    <row r="4" spans="1:19" x14ac:dyDescent="0.25">
      <c r="A4" t="s">
        <v>4</v>
      </c>
      <c r="B4" s="10">
        <f>VLOOKUP(Table11[[#This Row],[Type]],List!$A$4:$C$45,2,0)</f>
        <v>7999000</v>
      </c>
      <c r="C4" s="53">
        <v>200</v>
      </c>
      <c r="D4" s="1" t="s">
        <v>51</v>
      </c>
      <c r="E4" s="9">
        <v>43811</v>
      </c>
      <c r="F4" t="str">
        <f>VLOOKUP(Table11[[#This Row],[Type]],List!A5:C46,3,0)</f>
        <v>P-SMRT-SRN0237</v>
      </c>
    </row>
    <row r="5" spans="1:19" x14ac:dyDescent="0.25">
      <c r="A5" t="s">
        <v>5</v>
      </c>
      <c r="B5" s="10">
        <f>VLOOKUP(Table11[[#This Row],[Type]],List!$A$4:$C$45,2,0)</f>
        <v>4999000</v>
      </c>
      <c r="C5" s="53">
        <v>200</v>
      </c>
      <c r="D5" s="1" t="s">
        <v>51</v>
      </c>
      <c r="E5" s="9">
        <v>43658</v>
      </c>
      <c r="F5" t="str">
        <f>VLOOKUP(Table11[[#This Row],[Type]],List!A6:C47,3,0)</f>
        <v>P-SMRT-SRN0312</v>
      </c>
    </row>
    <row r="6" spans="1:19" x14ac:dyDescent="0.25">
      <c r="A6" t="s">
        <v>6</v>
      </c>
      <c r="B6" s="10">
        <f>VLOOKUP(Table11[[#This Row],[Type]],List!$A$4:$C$45,2,0)</f>
        <v>6299000</v>
      </c>
      <c r="C6" s="53">
        <v>200</v>
      </c>
      <c r="D6" s="1" t="s">
        <v>51</v>
      </c>
      <c r="E6" s="9">
        <v>43597</v>
      </c>
      <c r="F6" t="str">
        <f>VLOOKUP(Table11[[#This Row],[Type]],List!A7:C48,3,0)</f>
        <v>P-SMRT-SRN0421</v>
      </c>
    </row>
    <row r="7" spans="1:19" x14ac:dyDescent="0.25">
      <c r="A7" t="s">
        <v>7</v>
      </c>
      <c r="B7" s="10">
        <f>VLOOKUP(Table11[[#This Row],[Type]],List!$A$4:$C$45,2,0)</f>
        <v>8999000</v>
      </c>
      <c r="C7" s="53">
        <v>200</v>
      </c>
      <c r="D7" s="1" t="s">
        <v>51</v>
      </c>
      <c r="E7" s="9">
        <v>43689</v>
      </c>
      <c r="F7" t="str">
        <f>VLOOKUP(Table11[[#This Row],[Type]],List!A8:C49,3,0)</f>
        <v>P-SMRT-SRN0577</v>
      </c>
    </row>
    <row r="8" spans="1:19" x14ac:dyDescent="0.25">
      <c r="A8" t="s">
        <v>8</v>
      </c>
      <c r="B8" s="10">
        <f>VLOOKUP(Table11[[#This Row],[Type]],List!$A$4:$C$45,2,0)</f>
        <v>9999000</v>
      </c>
      <c r="C8" s="53">
        <v>200</v>
      </c>
      <c r="D8" s="1" t="s">
        <v>51</v>
      </c>
      <c r="E8" s="9">
        <v>43811</v>
      </c>
      <c r="F8" t="str">
        <f>VLOOKUP(Table11[[#This Row],[Type]],List!A9:C50,3,0)</f>
        <v>P-SMRT-SRN0684</v>
      </c>
    </row>
    <row r="9" spans="1:19" x14ac:dyDescent="0.25">
      <c r="A9" t="s">
        <v>10</v>
      </c>
      <c r="B9" s="10">
        <f>VLOOKUP(Table11[[#This Row],[Type]],List!$A$4:$C$45,2,0)</f>
        <v>1599000</v>
      </c>
      <c r="C9" s="53">
        <v>200</v>
      </c>
      <c r="D9" s="1" t="s">
        <v>53</v>
      </c>
      <c r="E9" s="9">
        <v>43592</v>
      </c>
      <c r="F9" t="str">
        <f>VLOOKUP(Table11[[#This Row],[Type]],List!A10:C51,3,0)</f>
        <v>P-SMRT-SA01</v>
      </c>
    </row>
    <row r="10" spans="1:19" x14ac:dyDescent="0.25">
      <c r="A10" t="s">
        <v>11</v>
      </c>
      <c r="B10" s="10">
        <f>VLOOKUP(Table11[[#This Row],[Type]],List!$A$4:$C$45,2,0)</f>
        <v>1540000</v>
      </c>
      <c r="C10" s="53">
        <v>200</v>
      </c>
      <c r="D10" s="1" t="s">
        <v>53</v>
      </c>
      <c r="E10" s="9">
        <v>43621</v>
      </c>
      <c r="F10" t="str">
        <f>VLOOKUP(Table11[[#This Row],[Type]],List!A11:C52,3,0)</f>
        <v>P-SMRT-SA02</v>
      </c>
    </row>
    <row r="11" spans="1:19" x14ac:dyDescent="0.25">
      <c r="A11" t="s">
        <v>12</v>
      </c>
      <c r="B11" s="10">
        <f>VLOOKUP(Table11[[#This Row],[Type]],List!$A$4:$C$45,2,0)</f>
        <v>2149900</v>
      </c>
      <c r="C11" s="53">
        <v>200</v>
      </c>
      <c r="D11" s="1" t="s">
        <v>53</v>
      </c>
      <c r="E11" s="9">
        <v>43830</v>
      </c>
      <c r="F11" t="str">
        <f>VLOOKUP(Table11[[#This Row],[Type]],List!A12:C53,3,0)</f>
        <v>P-SMRT-SA03</v>
      </c>
    </row>
    <row r="12" spans="1:19" x14ac:dyDescent="0.25">
      <c r="A12" t="s">
        <v>13</v>
      </c>
      <c r="B12" s="10">
        <f>VLOOKUP(Table11[[#This Row],[Type]],List!$A$4:$C$45,2,0)</f>
        <v>1850000</v>
      </c>
      <c r="C12" s="53">
        <v>200</v>
      </c>
      <c r="D12" s="1" t="s">
        <v>53</v>
      </c>
      <c r="E12" s="9">
        <v>43781</v>
      </c>
      <c r="F12" t="str">
        <f>VLOOKUP(Table11[[#This Row],[Type]],List!A13:C54,3,0)</f>
        <v>P-SMRT-SA04</v>
      </c>
    </row>
    <row r="13" spans="1:19" x14ac:dyDescent="0.25">
      <c r="A13" t="s">
        <v>14</v>
      </c>
      <c r="B13" s="10">
        <f>VLOOKUP(Table11[[#This Row],[Type]],List!$A$4:$C$45,2,0)</f>
        <v>1699000</v>
      </c>
      <c r="C13" s="53">
        <v>200</v>
      </c>
      <c r="D13" s="1" t="s">
        <v>53</v>
      </c>
      <c r="E13" s="9">
        <v>43596</v>
      </c>
      <c r="F13" t="str">
        <f>VLOOKUP(Table11[[#This Row],[Type]],List!A14:C55,3,0)</f>
        <v>P-SMRT-SA05</v>
      </c>
    </row>
    <row r="14" spans="1:19" x14ac:dyDescent="0.25">
      <c r="A14" t="s">
        <v>15</v>
      </c>
      <c r="B14" s="10">
        <f>VLOOKUP(Table11[[#This Row],[Type]],List!$A$4:$C$45,2,0)</f>
        <v>2250000</v>
      </c>
      <c r="C14" s="53">
        <v>200</v>
      </c>
      <c r="D14" s="1" t="s">
        <v>53</v>
      </c>
      <c r="E14" s="9">
        <v>43409</v>
      </c>
      <c r="F14" t="str">
        <f>VLOOKUP(Table11[[#This Row],[Type]],List!A15:C56,3,0)</f>
        <v>P-SMRT-SA06</v>
      </c>
    </row>
    <row r="15" spans="1:19" x14ac:dyDescent="0.25">
      <c r="A15" t="s">
        <v>16</v>
      </c>
      <c r="B15" s="10">
        <f>VLOOKUP(Table11[[#This Row],[Type]],List!$A$4:$C$45,2,0)</f>
        <v>1599000</v>
      </c>
      <c r="C15" s="53">
        <v>200</v>
      </c>
      <c r="D15" s="1" t="s">
        <v>53</v>
      </c>
      <c r="E15" s="9">
        <v>43830</v>
      </c>
      <c r="F15" t="str">
        <f>VLOOKUP(Table11[[#This Row],[Type]],List!A16:C57,3,0)</f>
        <v>P-SMRT-SA07</v>
      </c>
    </row>
    <row r="16" spans="1:19" x14ac:dyDescent="0.25">
      <c r="A16" t="s">
        <v>17</v>
      </c>
      <c r="B16" s="10">
        <f>VLOOKUP(Table11[[#This Row],[Type]],List!$A$4:$C$45,2,0)</f>
        <v>1799000</v>
      </c>
      <c r="C16" s="53">
        <v>200</v>
      </c>
      <c r="D16" s="1" t="s">
        <v>53</v>
      </c>
      <c r="E16" s="9">
        <v>43641</v>
      </c>
      <c r="F16" t="str">
        <f>VLOOKUP(Table11[[#This Row],[Type]],List!A17:C58,3,0)</f>
        <v>P-SMRT-SA08</v>
      </c>
    </row>
    <row r="17" spans="1:6" x14ac:dyDescent="0.25">
      <c r="A17" t="s">
        <v>18</v>
      </c>
      <c r="B17" s="10">
        <f>VLOOKUP(Table11[[#This Row],[Type]],List!$A$4:$C$45,2,0)</f>
        <v>2099000</v>
      </c>
      <c r="C17" s="53">
        <v>200</v>
      </c>
      <c r="D17" s="1" t="s">
        <v>53</v>
      </c>
      <c r="E17" s="9">
        <v>43415</v>
      </c>
      <c r="F17" t="str">
        <f>VLOOKUP(Table11[[#This Row],[Type]],List!A18:C59,3,0)</f>
        <v>P-SMRT-SA09</v>
      </c>
    </row>
    <row r="18" spans="1:6" x14ac:dyDescent="0.25">
      <c r="A18" t="s">
        <v>19</v>
      </c>
      <c r="B18" s="10">
        <f>VLOOKUP(Table11[[#This Row],[Type]],List!$A$4:$C$45,2,0)</f>
        <v>3699000</v>
      </c>
      <c r="C18" s="53">
        <v>200</v>
      </c>
      <c r="D18" s="1" t="s">
        <v>53</v>
      </c>
      <c r="E18" s="9">
        <v>43824</v>
      </c>
      <c r="F18" t="str">
        <f>VLOOKUP(Table11[[#This Row],[Type]],List!A19:C60,3,0)</f>
        <v>P-SMRT-SA10</v>
      </c>
    </row>
    <row r="19" spans="1:6" x14ac:dyDescent="0.25">
      <c r="A19" t="s">
        <v>21</v>
      </c>
      <c r="B19" s="10">
        <f>VLOOKUP(Table11[[#This Row],[Type]],List!$A$4:$C$45,2,0)</f>
        <v>3299000</v>
      </c>
      <c r="C19" s="53">
        <v>200</v>
      </c>
      <c r="D19" s="1" t="s">
        <v>52</v>
      </c>
      <c r="E19" s="9">
        <v>43231</v>
      </c>
      <c r="F19" t="str">
        <f>VLOOKUP(Table11[[#This Row],[Type]],List!A20:C61,3,0)</f>
        <v>P-SMRT-SF0142</v>
      </c>
    </row>
    <row r="20" spans="1:6" x14ac:dyDescent="0.25">
      <c r="A20" t="s">
        <v>22</v>
      </c>
      <c r="B20" s="10">
        <f>VLOOKUP(Table11[[#This Row],[Type]],List!$A$4:$C$45,2,0)</f>
        <v>3699000</v>
      </c>
      <c r="C20" s="53">
        <v>200</v>
      </c>
      <c r="D20" s="1" t="s">
        <v>52</v>
      </c>
      <c r="E20" s="9">
        <v>43354</v>
      </c>
      <c r="F20" t="str">
        <f>VLOOKUP(Table11[[#This Row],[Type]],List!A21:C62,3,0)</f>
        <v>P-SMRT-SF0276</v>
      </c>
    </row>
    <row r="21" spans="1:6" x14ac:dyDescent="0.25">
      <c r="A21" t="s">
        <v>23</v>
      </c>
      <c r="B21" s="10">
        <f>VLOOKUP(Table11[[#This Row],[Type]],List!$A$4:$C$45,2,0)</f>
        <v>1700000</v>
      </c>
      <c r="C21" s="53">
        <v>200</v>
      </c>
      <c r="D21" s="1" t="s">
        <v>52</v>
      </c>
      <c r="E21" s="9">
        <v>43773</v>
      </c>
      <c r="F21" t="str">
        <f>VLOOKUP(Table11[[#This Row],[Type]],List!A22:C63,3,0)</f>
        <v>P-SMRT-SF0301</v>
      </c>
    </row>
    <row r="22" spans="1:6" x14ac:dyDescent="0.25">
      <c r="A22" t="s">
        <v>24</v>
      </c>
      <c r="B22" s="10">
        <f>VLOOKUP(Table11[[#This Row],[Type]],List!$A$4:$C$45,2,0)</f>
        <v>1750000</v>
      </c>
      <c r="C22" s="53">
        <v>200</v>
      </c>
      <c r="D22" s="1" t="s">
        <v>52</v>
      </c>
      <c r="E22" s="9">
        <v>43780</v>
      </c>
      <c r="F22" t="str">
        <f>VLOOKUP(Table11[[#This Row],[Type]],List!A23:C64,3,0)</f>
        <v>P-SMRT-SF0477</v>
      </c>
    </row>
    <row r="23" spans="1:6" x14ac:dyDescent="0.25">
      <c r="A23" t="s">
        <v>25</v>
      </c>
      <c r="B23" s="10">
        <f>VLOOKUP(Table11[[#This Row],[Type]],List!$A$4:$C$45,2,0)</f>
        <v>1350000</v>
      </c>
      <c r="C23" s="53">
        <v>200</v>
      </c>
      <c r="D23" s="1" t="s">
        <v>52</v>
      </c>
      <c r="E23" s="9">
        <v>43791</v>
      </c>
      <c r="F23" t="str">
        <f>VLOOKUP(Table11[[#This Row],[Type]],List!A24:C65,3,0)</f>
        <v>P-SMRT-SF0524</v>
      </c>
    </row>
    <row r="24" spans="1:6" x14ac:dyDescent="0.25">
      <c r="A24" t="s">
        <v>28</v>
      </c>
      <c r="B24" s="10">
        <f>VLOOKUP(Table11[[#This Row],[Type]],List!$A$4:$C$45,2,0)</f>
        <v>1999000</v>
      </c>
      <c r="C24" s="53">
        <v>200</v>
      </c>
      <c r="D24" s="1" t="s">
        <v>52</v>
      </c>
      <c r="E24" s="9">
        <v>43590</v>
      </c>
      <c r="F24" t="str">
        <f>VLOOKUP(Table11[[#This Row],[Type]],List!A25:C66,3,0)</f>
        <v>P-SMRT-SF0687</v>
      </c>
    </row>
    <row r="25" spans="1:6" x14ac:dyDescent="0.25">
      <c r="A25" t="s">
        <v>26</v>
      </c>
      <c r="B25" s="10">
        <f>VLOOKUP(Table11[[#This Row],[Type]],List!$A$4:$C$45,2,0)</f>
        <v>1699000</v>
      </c>
      <c r="C25" s="53">
        <v>200</v>
      </c>
      <c r="D25" s="1" t="s">
        <v>52</v>
      </c>
      <c r="E25" s="9">
        <v>43627</v>
      </c>
      <c r="F25" t="str">
        <f>VLOOKUP(Table11[[#This Row],[Type]],List!A26:C67,3,0)</f>
        <v>P-SMRT-SF0712</v>
      </c>
    </row>
    <row r="26" spans="1:6" x14ac:dyDescent="0.25">
      <c r="A26" t="s">
        <v>27</v>
      </c>
      <c r="B26" s="10">
        <f>VLOOKUP(Table11[[#This Row],[Type]],List!$A$4:$C$45,2,0)</f>
        <v>2350000</v>
      </c>
      <c r="C26" s="53">
        <v>200</v>
      </c>
      <c r="D26" s="1" t="s">
        <v>52</v>
      </c>
      <c r="E26" s="9">
        <v>43811</v>
      </c>
      <c r="F26" t="str">
        <f>VLOOKUP(Table11[[#This Row],[Type]],List!A27:C68,3,0)</f>
        <v>P-SMRT-SF0899</v>
      </c>
    </row>
    <row r="27" spans="1:6" x14ac:dyDescent="0.25">
      <c r="A27" t="s">
        <v>29</v>
      </c>
      <c r="B27" s="10">
        <f>VLOOKUP(Table11[[#This Row],[Type]],List!$A$4:$C$45,2,0)</f>
        <v>3299000</v>
      </c>
      <c r="C27" s="53">
        <v>200</v>
      </c>
      <c r="D27" s="1" t="s">
        <v>52</v>
      </c>
      <c r="E27" s="9">
        <v>43269</v>
      </c>
      <c r="F27" t="str">
        <f>VLOOKUP(Table11[[#This Row],[Type]],List!A28:C69,3,0)</f>
        <v>P-SMRT-SF0983</v>
      </c>
    </row>
    <row r="28" spans="1:6" x14ac:dyDescent="0.25">
      <c r="A28" t="s">
        <v>30</v>
      </c>
      <c r="B28" s="10">
        <f>VLOOKUP(Table11[[#This Row],[Type]],List!$A$4:$C$45,2,0)</f>
        <v>2249000</v>
      </c>
      <c r="C28" s="53">
        <v>200</v>
      </c>
      <c r="D28" s="1" t="s">
        <v>52</v>
      </c>
      <c r="E28" s="9">
        <v>43590</v>
      </c>
      <c r="F28" t="str">
        <f>VLOOKUP(Table11[[#This Row],[Type]],List!A29:C70,3,0)</f>
        <v>P-SMRT-SF1027</v>
      </c>
    </row>
    <row r="29" spans="1:6" x14ac:dyDescent="0.25">
      <c r="A29" t="s">
        <v>31</v>
      </c>
      <c r="B29" s="10">
        <f>VLOOKUP(Table11[[#This Row],[Type]],List!$A$4:$C$45,2,0)</f>
        <v>2699000</v>
      </c>
      <c r="C29" s="53">
        <v>200</v>
      </c>
      <c r="D29" s="1" t="s">
        <v>52</v>
      </c>
      <c r="E29" s="9">
        <v>43830</v>
      </c>
      <c r="F29" t="str">
        <f>VLOOKUP(Table11[[#This Row],[Type]],List!A30:C71,3,0)</f>
        <v>P-SMRT-SF1112</v>
      </c>
    </row>
    <row r="30" spans="1:6" x14ac:dyDescent="0.25">
      <c r="A30" t="s">
        <v>32</v>
      </c>
      <c r="B30" s="10">
        <f>VLOOKUP(Table11[[#This Row],[Type]],List!$A$4:$C$45,2,0)</f>
        <v>3299000</v>
      </c>
      <c r="C30" s="53">
        <v>200</v>
      </c>
      <c r="D30" s="1" t="s">
        <v>52</v>
      </c>
      <c r="E30" s="9">
        <v>43811</v>
      </c>
      <c r="F30" t="str">
        <f>VLOOKUP(Table11[[#This Row],[Type]],List!A31:C72,3,0)</f>
        <v>P-SMRT-SF1234</v>
      </c>
    </row>
    <row r="31" spans="1:6" x14ac:dyDescent="0.25">
      <c r="A31" t="s">
        <v>34</v>
      </c>
      <c r="B31" s="10">
        <f>VLOOKUP(Table11[[#This Row],[Type]],List!$A$4:$C$45,2,0)</f>
        <v>9999000</v>
      </c>
      <c r="C31" s="53">
        <v>200</v>
      </c>
      <c r="D31" s="1" t="s">
        <v>54</v>
      </c>
      <c r="E31" s="9">
        <v>43811</v>
      </c>
      <c r="F31" t="str">
        <f>VLOOKUP(Table11[[#This Row],[Type]],List!A32:C73,3,0)</f>
        <v>P-SMRT-SFX010</v>
      </c>
    </row>
    <row r="32" spans="1:6" x14ac:dyDescent="0.25">
      <c r="A32" t="s">
        <v>35</v>
      </c>
      <c r="B32" s="10">
        <f>VLOOKUP(Table11[[#This Row],[Type]],List!$A$4:$C$45,2,0)</f>
        <v>10299000</v>
      </c>
      <c r="C32" s="53">
        <v>200</v>
      </c>
      <c r="D32" s="1" t="s">
        <v>54</v>
      </c>
      <c r="E32" s="9">
        <v>43791</v>
      </c>
      <c r="F32" t="str">
        <f>VLOOKUP(Table11[[#This Row],[Type]],List!A33:C74,3,0)</f>
        <v>P-SMRT-SFX020</v>
      </c>
    </row>
    <row r="33" spans="1:6" x14ac:dyDescent="0.25">
      <c r="A33" t="s">
        <v>36</v>
      </c>
      <c r="B33" s="10">
        <f>VLOOKUP(Table11[[#This Row],[Type]],List!$A$4:$C$45,2,0)</f>
        <v>3999000</v>
      </c>
      <c r="C33" s="53">
        <v>200</v>
      </c>
      <c r="D33" s="1" t="s">
        <v>55</v>
      </c>
      <c r="E33" s="9">
        <v>43664</v>
      </c>
      <c r="F33" t="str">
        <f>VLOOKUP(Table11[[#This Row],[Type]],List!A34:C75,3,0)</f>
        <v>P-SMRT-SK0111</v>
      </c>
    </row>
    <row r="34" spans="1:6" x14ac:dyDescent="0.25">
      <c r="A34" t="s">
        <v>37</v>
      </c>
      <c r="B34" s="10">
        <f>VLOOKUP(Table11[[#This Row],[Type]],List!$A$4:$C$45,2,0)</f>
        <v>5999000</v>
      </c>
      <c r="C34" s="53">
        <v>200</v>
      </c>
      <c r="D34" s="1" t="s">
        <v>56</v>
      </c>
      <c r="E34" s="9">
        <v>43830</v>
      </c>
      <c r="F34" t="str">
        <f>VLOOKUP(Table11[[#This Row],[Type]],List!A35:C76,3,0)</f>
        <v>P-SMRT-SR0121</v>
      </c>
    </row>
  </sheetData>
  <mergeCells count="1">
    <mergeCell ref="A1:E1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C4EF-4294-4517-AE40-AF61AC779E0A}">
  <dimension ref="A1:B69"/>
  <sheetViews>
    <sheetView topLeftCell="A19" workbookViewId="0">
      <selection activeCell="B1" sqref="B1"/>
    </sheetView>
  </sheetViews>
  <sheetFormatPr defaultRowHeight="15" x14ac:dyDescent="0.25"/>
  <cols>
    <col min="1" max="1" width="30.42578125" bestFit="1" customWidth="1"/>
    <col min="2" max="2" width="15" bestFit="1" customWidth="1"/>
  </cols>
  <sheetData>
    <row r="1" spans="1:2" x14ac:dyDescent="0.25">
      <c r="A1" s="6" t="s">
        <v>57</v>
      </c>
      <c r="B1" t="s">
        <v>146</v>
      </c>
    </row>
    <row r="2" spans="1:2" x14ac:dyDescent="0.25">
      <c r="A2" s="6" t="s">
        <v>50</v>
      </c>
      <c r="B2" t="s">
        <v>146</v>
      </c>
    </row>
    <row r="4" spans="1:2" x14ac:dyDescent="0.25">
      <c r="A4" s="6" t="s">
        <v>48</v>
      </c>
      <c r="B4" t="s">
        <v>59</v>
      </c>
    </row>
    <row r="5" spans="1:2" x14ac:dyDescent="0.25">
      <c r="A5" s="7" t="s">
        <v>110</v>
      </c>
      <c r="B5" s="50">
        <v>1599000</v>
      </c>
    </row>
    <row r="6" spans="1:2" x14ac:dyDescent="0.25">
      <c r="A6" s="8" t="s">
        <v>10</v>
      </c>
      <c r="B6" s="50">
        <v>1599000</v>
      </c>
    </row>
    <row r="7" spans="1:2" x14ac:dyDescent="0.25">
      <c r="A7" s="7" t="s">
        <v>111</v>
      </c>
      <c r="B7" s="50">
        <v>1540000</v>
      </c>
    </row>
    <row r="8" spans="1:2" x14ac:dyDescent="0.25">
      <c r="A8" s="8" t="s">
        <v>11</v>
      </c>
      <c r="B8" s="50">
        <v>1540000</v>
      </c>
    </row>
    <row r="9" spans="1:2" x14ac:dyDescent="0.25">
      <c r="A9" s="7" t="s">
        <v>112</v>
      </c>
      <c r="B9" s="50">
        <v>2149900</v>
      </c>
    </row>
    <row r="10" spans="1:2" x14ac:dyDescent="0.25">
      <c r="A10" s="8" t="s">
        <v>12</v>
      </c>
      <c r="B10" s="50">
        <v>2149900</v>
      </c>
    </row>
    <row r="11" spans="1:2" x14ac:dyDescent="0.25">
      <c r="A11" s="7" t="s">
        <v>113</v>
      </c>
      <c r="B11" s="50">
        <v>1850000</v>
      </c>
    </row>
    <row r="12" spans="1:2" x14ac:dyDescent="0.25">
      <c r="A12" s="8" t="s">
        <v>13</v>
      </c>
      <c r="B12" s="50">
        <v>1850000</v>
      </c>
    </row>
    <row r="13" spans="1:2" x14ac:dyDescent="0.25">
      <c r="A13" s="7" t="s">
        <v>114</v>
      </c>
      <c r="B13" s="50">
        <v>1699000</v>
      </c>
    </row>
    <row r="14" spans="1:2" x14ac:dyDescent="0.25">
      <c r="A14" s="8" t="s">
        <v>14</v>
      </c>
      <c r="B14" s="50">
        <v>1699000</v>
      </c>
    </row>
    <row r="15" spans="1:2" x14ac:dyDescent="0.25">
      <c r="A15" s="7" t="s">
        <v>115</v>
      </c>
      <c r="B15" s="50">
        <v>2250000</v>
      </c>
    </row>
    <row r="16" spans="1:2" x14ac:dyDescent="0.25">
      <c r="A16" s="8" t="s">
        <v>15</v>
      </c>
      <c r="B16" s="50">
        <v>2250000</v>
      </c>
    </row>
    <row r="17" spans="1:2" x14ac:dyDescent="0.25">
      <c r="A17" s="7" t="s">
        <v>116</v>
      </c>
      <c r="B17" s="50">
        <v>1599000</v>
      </c>
    </row>
    <row r="18" spans="1:2" x14ac:dyDescent="0.25">
      <c r="A18" s="8" t="s">
        <v>16</v>
      </c>
      <c r="B18" s="50">
        <v>1599000</v>
      </c>
    </row>
    <row r="19" spans="1:2" x14ac:dyDescent="0.25">
      <c r="A19" s="7" t="s">
        <v>117</v>
      </c>
      <c r="B19" s="50">
        <v>1799000</v>
      </c>
    </row>
    <row r="20" spans="1:2" x14ac:dyDescent="0.25">
      <c r="A20" s="8" t="s">
        <v>17</v>
      </c>
      <c r="B20" s="50">
        <v>1799000</v>
      </c>
    </row>
    <row r="21" spans="1:2" x14ac:dyDescent="0.25">
      <c r="A21" s="7" t="s">
        <v>118</v>
      </c>
      <c r="B21" s="50">
        <v>2099000</v>
      </c>
    </row>
    <row r="22" spans="1:2" x14ac:dyDescent="0.25">
      <c r="A22" s="8" t="s">
        <v>18</v>
      </c>
      <c r="B22" s="50">
        <v>2099000</v>
      </c>
    </row>
    <row r="23" spans="1:2" x14ac:dyDescent="0.25">
      <c r="A23" s="7" t="s">
        <v>119</v>
      </c>
      <c r="B23" s="50">
        <v>3699000</v>
      </c>
    </row>
    <row r="24" spans="1:2" x14ac:dyDescent="0.25">
      <c r="A24" s="8" t="s">
        <v>19</v>
      </c>
      <c r="B24" s="50">
        <v>3699000</v>
      </c>
    </row>
    <row r="25" spans="1:2" x14ac:dyDescent="0.25">
      <c r="A25" s="7" t="s">
        <v>124</v>
      </c>
      <c r="B25" s="50">
        <v>3299000</v>
      </c>
    </row>
    <row r="26" spans="1:2" x14ac:dyDescent="0.25">
      <c r="A26" s="8" t="s">
        <v>21</v>
      </c>
      <c r="B26" s="50">
        <v>3299000</v>
      </c>
    </row>
    <row r="27" spans="1:2" x14ac:dyDescent="0.25">
      <c r="A27" s="7" t="s">
        <v>125</v>
      </c>
      <c r="B27" s="50">
        <v>3699000</v>
      </c>
    </row>
    <row r="28" spans="1:2" x14ac:dyDescent="0.25">
      <c r="A28" s="8" t="s">
        <v>22</v>
      </c>
      <c r="B28" s="50">
        <v>3699000</v>
      </c>
    </row>
    <row r="29" spans="1:2" x14ac:dyDescent="0.25">
      <c r="A29" s="7" t="s">
        <v>126</v>
      </c>
      <c r="B29" s="50">
        <v>1700000</v>
      </c>
    </row>
    <row r="30" spans="1:2" x14ac:dyDescent="0.25">
      <c r="A30" s="8" t="s">
        <v>23</v>
      </c>
      <c r="B30" s="50">
        <v>1700000</v>
      </c>
    </row>
    <row r="31" spans="1:2" x14ac:dyDescent="0.25">
      <c r="A31" s="7" t="s">
        <v>127</v>
      </c>
      <c r="B31" s="50">
        <v>1750000</v>
      </c>
    </row>
    <row r="32" spans="1:2" x14ac:dyDescent="0.25">
      <c r="A32" s="8" t="s">
        <v>24</v>
      </c>
      <c r="B32" s="50">
        <v>1750000</v>
      </c>
    </row>
    <row r="33" spans="1:2" x14ac:dyDescent="0.25">
      <c r="A33" s="7" t="s">
        <v>128</v>
      </c>
      <c r="B33" s="50">
        <v>1350000</v>
      </c>
    </row>
    <row r="34" spans="1:2" x14ac:dyDescent="0.25">
      <c r="A34" s="8" t="s">
        <v>25</v>
      </c>
      <c r="B34" s="50">
        <v>1350000</v>
      </c>
    </row>
    <row r="35" spans="1:2" x14ac:dyDescent="0.25">
      <c r="A35" s="7" t="s">
        <v>129</v>
      </c>
      <c r="B35" s="50">
        <v>1999000</v>
      </c>
    </row>
    <row r="36" spans="1:2" x14ac:dyDescent="0.25">
      <c r="A36" s="8" t="s">
        <v>28</v>
      </c>
      <c r="B36" s="50">
        <v>1999000</v>
      </c>
    </row>
    <row r="37" spans="1:2" x14ac:dyDescent="0.25">
      <c r="A37" s="7" t="s">
        <v>130</v>
      </c>
      <c r="B37" s="50">
        <v>1699000</v>
      </c>
    </row>
    <row r="38" spans="1:2" x14ac:dyDescent="0.25">
      <c r="A38" s="8" t="s">
        <v>26</v>
      </c>
      <c r="B38" s="50">
        <v>1699000</v>
      </c>
    </row>
    <row r="39" spans="1:2" x14ac:dyDescent="0.25">
      <c r="A39" s="7" t="s">
        <v>131</v>
      </c>
      <c r="B39" s="50">
        <v>2350000</v>
      </c>
    </row>
    <row r="40" spans="1:2" x14ac:dyDescent="0.25">
      <c r="A40" s="8" t="s">
        <v>27</v>
      </c>
      <c r="B40" s="50">
        <v>2350000</v>
      </c>
    </row>
    <row r="41" spans="1:2" x14ac:dyDescent="0.25">
      <c r="A41" s="7" t="s">
        <v>132</v>
      </c>
      <c r="B41" s="50">
        <v>3299000</v>
      </c>
    </row>
    <row r="42" spans="1:2" x14ac:dyDescent="0.25">
      <c r="A42" s="8" t="s">
        <v>29</v>
      </c>
      <c r="B42" s="50">
        <v>3299000</v>
      </c>
    </row>
    <row r="43" spans="1:2" x14ac:dyDescent="0.25">
      <c r="A43" s="7" t="s">
        <v>133</v>
      </c>
      <c r="B43" s="50">
        <v>2249000</v>
      </c>
    </row>
    <row r="44" spans="1:2" x14ac:dyDescent="0.25">
      <c r="A44" s="8" t="s">
        <v>30</v>
      </c>
      <c r="B44" s="50">
        <v>2249000</v>
      </c>
    </row>
    <row r="45" spans="1:2" x14ac:dyDescent="0.25">
      <c r="A45" s="7" t="s">
        <v>134</v>
      </c>
      <c r="B45" s="50">
        <v>2699000</v>
      </c>
    </row>
    <row r="46" spans="1:2" x14ac:dyDescent="0.25">
      <c r="A46" s="8" t="s">
        <v>31</v>
      </c>
      <c r="B46" s="50">
        <v>2699000</v>
      </c>
    </row>
    <row r="47" spans="1:2" x14ac:dyDescent="0.25">
      <c r="A47" s="7" t="s">
        <v>135</v>
      </c>
      <c r="B47" s="50">
        <v>3299000</v>
      </c>
    </row>
    <row r="48" spans="1:2" x14ac:dyDescent="0.25">
      <c r="A48" s="8" t="s">
        <v>32</v>
      </c>
      <c r="B48" s="50">
        <v>3299000</v>
      </c>
    </row>
    <row r="49" spans="1:2" x14ac:dyDescent="0.25">
      <c r="A49" s="7" t="s">
        <v>120</v>
      </c>
      <c r="B49" s="50">
        <v>9999000</v>
      </c>
    </row>
    <row r="50" spans="1:2" x14ac:dyDescent="0.25">
      <c r="A50" s="8" t="s">
        <v>34</v>
      </c>
      <c r="B50" s="50">
        <v>9999000</v>
      </c>
    </row>
    <row r="51" spans="1:2" x14ac:dyDescent="0.25">
      <c r="A51" s="7" t="s">
        <v>121</v>
      </c>
      <c r="B51" s="50">
        <v>10299000</v>
      </c>
    </row>
    <row r="52" spans="1:2" x14ac:dyDescent="0.25">
      <c r="A52" s="8" t="s">
        <v>35</v>
      </c>
      <c r="B52" s="50">
        <v>10299000</v>
      </c>
    </row>
    <row r="53" spans="1:2" x14ac:dyDescent="0.25">
      <c r="A53" s="7" t="s">
        <v>122</v>
      </c>
      <c r="B53" s="50">
        <v>3999000</v>
      </c>
    </row>
    <row r="54" spans="1:2" x14ac:dyDescent="0.25">
      <c r="A54" s="8" t="s">
        <v>36</v>
      </c>
      <c r="B54" s="50">
        <v>3999000</v>
      </c>
    </row>
    <row r="55" spans="1:2" x14ac:dyDescent="0.25">
      <c r="A55" s="7" t="s">
        <v>123</v>
      </c>
      <c r="B55" s="50">
        <v>5999000</v>
      </c>
    </row>
    <row r="56" spans="1:2" x14ac:dyDescent="0.25">
      <c r="A56" s="8" t="s">
        <v>37</v>
      </c>
      <c r="B56" s="50">
        <v>5999000</v>
      </c>
    </row>
    <row r="57" spans="1:2" x14ac:dyDescent="0.25">
      <c r="A57" s="7" t="s">
        <v>136</v>
      </c>
      <c r="B57" s="50">
        <v>7999000</v>
      </c>
    </row>
    <row r="58" spans="1:2" x14ac:dyDescent="0.25">
      <c r="A58" s="8" t="s">
        <v>3</v>
      </c>
      <c r="B58" s="50">
        <v>7999000</v>
      </c>
    </row>
    <row r="59" spans="1:2" x14ac:dyDescent="0.25">
      <c r="A59" s="7" t="s">
        <v>137</v>
      </c>
      <c r="B59" s="50">
        <v>7999000</v>
      </c>
    </row>
    <row r="60" spans="1:2" x14ac:dyDescent="0.25">
      <c r="A60" s="8" t="s">
        <v>4</v>
      </c>
      <c r="B60" s="50">
        <v>7999000</v>
      </c>
    </row>
    <row r="61" spans="1:2" x14ac:dyDescent="0.25">
      <c r="A61" s="7" t="s">
        <v>138</v>
      </c>
      <c r="B61" s="50">
        <v>4999000</v>
      </c>
    </row>
    <row r="62" spans="1:2" x14ac:dyDescent="0.25">
      <c r="A62" s="8" t="s">
        <v>5</v>
      </c>
      <c r="B62" s="50">
        <v>4999000</v>
      </c>
    </row>
    <row r="63" spans="1:2" x14ac:dyDescent="0.25">
      <c r="A63" s="7" t="s">
        <v>139</v>
      </c>
      <c r="B63" s="50">
        <v>6299000</v>
      </c>
    </row>
    <row r="64" spans="1:2" x14ac:dyDescent="0.25">
      <c r="A64" s="8" t="s">
        <v>6</v>
      </c>
      <c r="B64" s="50">
        <v>6299000</v>
      </c>
    </row>
    <row r="65" spans="1:2" x14ac:dyDescent="0.25">
      <c r="A65" s="7" t="s">
        <v>140</v>
      </c>
      <c r="B65" s="50">
        <v>8999000</v>
      </c>
    </row>
    <row r="66" spans="1:2" x14ac:dyDescent="0.25">
      <c r="A66" s="8" t="s">
        <v>7</v>
      </c>
      <c r="B66" s="50">
        <v>8999000</v>
      </c>
    </row>
    <row r="67" spans="1:2" x14ac:dyDescent="0.25">
      <c r="A67" s="7" t="s">
        <v>141</v>
      </c>
      <c r="B67" s="50">
        <v>9999000</v>
      </c>
    </row>
    <row r="68" spans="1:2" x14ac:dyDescent="0.25">
      <c r="A68" s="8" t="s">
        <v>8</v>
      </c>
      <c r="B68" s="50">
        <v>9999000</v>
      </c>
    </row>
    <row r="69" spans="1:2" x14ac:dyDescent="0.25">
      <c r="A69" s="7" t="s">
        <v>49</v>
      </c>
      <c r="B69" s="50">
        <v>126265900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435A-1E16-44FE-86BE-7E243DC28DC0}">
  <dimension ref="A1:U18"/>
  <sheetViews>
    <sheetView workbookViewId="0">
      <selection activeCell="D2" sqref="D2"/>
    </sheetView>
  </sheetViews>
  <sheetFormatPr defaultRowHeight="15" x14ac:dyDescent="0.25"/>
  <cols>
    <col min="1" max="1" width="17.140625" customWidth="1"/>
    <col min="2" max="2" width="10.85546875" customWidth="1"/>
    <col min="3" max="3" width="25.85546875" customWidth="1"/>
    <col min="4" max="4" width="13.7109375" customWidth="1"/>
  </cols>
  <sheetData>
    <row r="1" spans="1:21" ht="46.5" x14ac:dyDescent="0.7">
      <c r="A1" s="87" t="s">
        <v>39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1" x14ac:dyDescent="0.25">
      <c r="A2" s="19" t="s">
        <v>66</v>
      </c>
      <c r="B2" s="19" t="s">
        <v>67</v>
      </c>
      <c r="C2" s="19" t="s">
        <v>1</v>
      </c>
    </row>
    <row r="3" spans="1:21" x14ac:dyDescent="0.25">
      <c r="A3" s="2" t="s">
        <v>68</v>
      </c>
      <c r="B3" s="3">
        <v>2</v>
      </c>
      <c r="C3" s="2" t="s">
        <v>10</v>
      </c>
    </row>
    <row r="4" spans="1:21" x14ac:dyDescent="0.25">
      <c r="A4" s="2" t="s">
        <v>69</v>
      </c>
      <c r="B4" s="3">
        <v>5</v>
      </c>
      <c r="C4" s="2" t="s">
        <v>16</v>
      </c>
    </row>
    <row r="5" spans="1:21" x14ac:dyDescent="0.25">
      <c r="A5" s="2" t="s">
        <v>70</v>
      </c>
      <c r="B5" s="3">
        <v>1</v>
      </c>
      <c r="C5" s="2" t="s">
        <v>3</v>
      </c>
    </row>
    <row r="6" spans="1:21" x14ac:dyDescent="0.25">
      <c r="A6" s="2" t="s">
        <v>71</v>
      </c>
      <c r="B6" s="3">
        <v>3</v>
      </c>
      <c r="C6" s="2" t="s">
        <v>34</v>
      </c>
    </row>
    <row r="7" spans="1:21" x14ac:dyDescent="0.25">
      <c r="A7" s="2" t="s">
        <v>72</v>
      </c>
      <c r="B7" s="3">
        <v>3</v>
      </c>
      <c r="C7" s="2" t="s">
        <v>37</v>
      </c>
    </row>
    <row r="8" spans="1:21" x14ac:dyDescent="0.25">
      <c r="A8" s="2" t="s">
        <v>73</v>
      </c>
      <c r="B8" s="3">
        <v>4</v>
      </c>
      <c r="C8" s="2" t="s">
        <v>8</v>
      </c>
    </row>
    <row r="9" spans="1:21" x14ac:dyDescent="0.25">
      <c r="A9" s="2" t="s">
        <v>74</v>
      </c>
      <c r="B9" s="3">
        <v>10</v>
      </c>
      <c r="C9" s="2" t="s">
        <v>36</v>
      </c>
    </row>
    <row r="10" spans="1:21" x14ac:dyDescent="0.25">
      <c r="A10" s="2" t="s">
        <v>75</v>
      </c>
      <c r="B10" s="3">
        <v>8</v>
      </c>
      <c r="C10" s="2" t="s">
        <v>25</v>
      </c>
    </row>
    <row r="11" spans="1:21" x14ac:dyDescent="0.25">
      <c r="A11" s="2" t="s">
        <v>76</v>
      </c>
      <c r="B11" s="3">
        <v>7</v>
      </c>
      <c r="C11" s="2" t="s">
        <v>34</v>
      </c>
    </row>
    <row r="12" spans="1:21" x14ac:dyDescent="0.25">
      <c r="A12" s="2" t="s">
        <v>77</v>
      </c>
      <c r="B12" s="3">
        <v>2</v>
      </c>
      <c r="C12" s="2" t="s">
        <v>26</v>
      </c>
    </row>
    <row r="13" spans="1:21" x14ac:dyDescent="0.25">
      <c r="A13" s="2" t="s">
        <v>78</v>
      </c>
      <c r="B13" s="3">
        <v>6</v>
      </c>
      <c r="C13" s="2" t="s">
        <v>84</v>
      </c>
    </row>
    <row r="14" spans="1:21" x14ac:dyDescent="0.25">
      <c r="A14" s="2" t="s">
        <v>79</v>
      </c>
      <c r="B14" s="3">
        <v>4</v>
      </c>
      <c r="C14" s="2" t="s">
        <v>5</v>
      </c>
    </row>
    <row r="15" spans="1:21" x14ac:dyDescent="0.25">
      <c r="A15" s="2" t="s">
        <v>80</v>
      </c>
      <c r="B15" s="3">
        <v>3</v>
      </c>
      <c r="C15" s="2" t="s">
        <v>85</v>
      </c>
    </row>
    <row r="16" spans="1:21" x14ac:dyDescent="0.25">
      <c r="A16" s="2" t="s">
        <v>81</v>
      </c>
      <c r="B16" s="3">
        <v>8</v>
      </c>
      <c r="C16" s="2" t="s">
        <v>29</v>
      </c>
    </row>
    <row r="17" spans="1:3" x14ac:dyDescent="0.25">
      <c r="A17" s="2" t="s">
        <v>82</v>
      </c>
      <c r="B17" s="3">
        <v>9</v>
      </c>
      <c r="C17" s="2" t="s">
        <v>18</v>
      </c>
    </row>
    <row r="18" spans="1:3" x14ac:dyDescent="0.25">
      <c r="A18" s="2" t="s">
        <v>83</v>
      </c>
      <c r="B18" s="3">
        <v>5</v>
      </c>
      <c r="C18" s="2" t="s">
        <v>6</v>
      </c>
    </row>
  </sheetData>
  <mergeCells count="1">
    <mergeCell ref="A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D484-6B99-422F-BDD3-12FB566864E5}">
  <dimension ref="A1:U18"/>
  <sheetViews>
    <sheetView topLeftCell="A2" workbookViewId="0">
      <selection activeCell="C20" sqref="C20"/>
    </sheetView>
  </sheetViews>
  <sheetFormatPr defaultRowHeight="15" x14ac:dyDescent="0.25"/>
  <cols>
    <col min="1" max="1" width="17.7109375" bestFit="1" customWidth="1"/>
    <col min="2" max="2" width="20" customWidth="1"/>
    <col min="3" max="3" width="32.5703125" customWidth="1"/>
    <col min="4" max="4" width="22.7109375" customWidth="1"/>
    <col min="5" max="5" width="12.42578125" customWidth="1"/>
    <col min="6" max="6" width="18.140625" customWidth="1"/>
    <col min="7" max="7" width="20.85546875" customWidth="1"/>
    <col min="8" max="8" width="19.7109375" customWidth="1"/>
    <col min="9" max="9" width="18.85546875" customWidth="1"/>
    <col min="10" max="10" width="17" customWidth="1"/>
  </cols>
  <sheetData>
    <row r="1" spans="1:21" ht="46.5" x14ac:dyDescent="0.7">
      <c r="A1" s="87" t="s">
        <v>39</v>
      </c>
      <c r="B1" s="87"/>
      <c r="C1" s="87"/>
      <c r="D1" s="87"/>
      <c r="E1" s="87"/>
      <c r="F1" s="87"/>
      <c r="G1" s="87"/>
      <c r="H1" s="87"/>
      <c r="I1" s="8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21" t="s">
        <v>66</v>
      </c>
      <c r="B2" s="23" t="s">
        <v>86</v>
      </c>
      <c r="C2" s="23" t="s">
        <v>87</v>
      </c>
      <c r="D2" s="23" t="s">
        <v>50</v>
      </c>
      <c r="E2" s="23" t="s">
        <v>88</v>
      </c>
      <c r="F2" s="23" t="s">
        <v>58</v>
      </c>
      <c r="G2" s="23" t="s">
        <v>98</v>
      </c>
      <c r="H2" s="23" t="s">
        <v>2</v>
      </c>
      <c r="I2" s="20" t="s">
        <v>89</v>
      </c>
      <c r="J2" s="23" t="s">
        <v>108</v>
      </c>
    </row>
    <row r="3" spans="1:21" x14ac:dyDescent="0.25">
      <c r="A3" s="13" t="s">
        <v>68</v>
      </c>
      <c r="B3" s="39">
        <f>DATE(2018,11,11)</f>
        <v>43415</v>
      </c>
      <c r="C3" s="2" t="s">
        <v>10</v>
      </c>
      <c r="D3" s="37" t="s">
        <v>90</v>
      </c>
      <c r="E3" s="22">
        <v>2</v>
      </c>
      <c r="F3" s="22">
        <v>200</v>
      </c>
      <c r="G3" s="22">
        <f t="shared" ref="G3:G18" si="0">SUM(F3-E3)</f>
        <v>198</v>
      </c>
      <c r="H3" s="33">
        <v>1599000</v>
      </c>
      <c r="I3" s="45">
        <f>SUM(Table2[[#This Row],[Price]]*Table2[[#This Row],[Quantity]])</f>
        <v>3198000</v>
      </c>
      <c r="J3" s="51" t="str">
        <f>VLOOKUP(Table2[[#This Row],[Item Name]],Table11[],6,0)</f>
        <v>P-SMRT-SA01</v>
      </c>
    </row>
    <row r="4" spans="1:21" x14ac:dyDescent="0.25">
      <c r="A4" s="13" t="s">
        <v>69</v>
      </c>
      <c r="B4" s="39">
        <f>DATE(2019,12,11)</f>
        <v>43810</v>
      </c>
      <c r="C4" s="2" t="s">
        <v>16</v>
      </c>
      <c r="D4" s="37" t="s">
        <v>90</v>
      </c>
      <c r="E4" s="22">
        <v>5</v>
      </c>
      <c r="F4" s="22">
        <v>200</v>
      </c>
      <c r="G4" s="22">
        <f t="shared" si="0"/>
        <v>195</v>
      </c>
      <c r="H4" s="33">
        <v>1599000</v>
      </c>
      <c r="I4" s="45">
        <f>SUM(Table2[[#This Row],[Price]]*Table2[[#This Row],[Quantity]])</f>
        <v>7995000</v>
      </c>
      <c r="J4" s="51" t="str">
        <f>VLOOKUP(Table2[[#This Row],[Item Name]],Table11[],6,0)</f>
        <v>P-SMRT-SA07</v>
      </c>
    </row>
    <row r="5" spans="1:21" x14ac:dyDescent="0.25">
      <c r="A5" s="13" t="s">
        <v>70</v>
      </c>
      <c r="B5" s="39">
        <f>DATE(2018,12,18)</f>
        <v>43452</v>
      </c>
      <c r="C5" s="2" t="s">
        <v>3</v>
      </c>
      <c r="D5" s="37" t="s">
        <v>93</v>
      </c>
      <c r="E5" s="22">
        <v>1</v>
      </c>
      <c r="F5" s="22">
        <v>200</v>
      </c>
      <c r="G5" s="22">
        <f t="shared" si="0"/>
        <v>199</v>
      </c>
      <c r="H5" s="33">
        <v>7999000</v>
      </c>
      <c r="I5" s="45">
        <f>SUM(Table2[[#This Row],[Price]]*Table2[[#This Row],[Quantity]])</f>
        <v>7999000</v>
      </c>
      <c r="J5" s="51" t="str">
        <f>VLOOKUP(Table2[[#This Row],[Item Name]],Table11[],6,0)</f>
        <v>P-SMRT-SRN0100</v>
      </c>
    </row>
    <row r="6" spans="1:21" x14ac:dyDescent="0.25">
      <c r="A6" s="13" t="s">
        <v>71</v>
      </c>
      <c r="B6" s="39">
        <f>DATE(2019,1,1)</f>
        <v>43466</v>
      </c>
      <c r="C6" s="2" t="s">
        <v>34</v>
      </c>
      <c r="D6" s="37" t="s">
        <v>91</v>
      </c>
      <c r="E6" s="22">
        <v>3</v>
      </c>
      <c r="F6" s="22">
        <v>200</v>
      </c>
      <c r="G6" s="22">
        <f t="shared" si="0"/>
        <v>197</v>
      </c>
      <c r="H6" s="33">
        <v>9999000</v>
      </c>
      <c r="I6" s="45">
        <f>SUM(Table2[[#This Row],[Price]]*Table2[[#This Row],[Quantity]])</f>
        <v>29997000</v>
      </c>
      <c r="J6" s="51" t="str">
        <f>VLOOKUP(Table2[[#This Row],[Item Name]],Table11[],6,0)</f>
        <v>P-SMRT-SFX010</v>
      </c>
    </row>
    <row r="7" spans="1:21" x14ac:dyDescent="0.25">
      <c r="A7" s="13" t="s">
        <v>72</v>
      </c>
      <c r="B7" s="39">
        <f>DATE(2019,2,18)</f>
        <v>43514</v>
      </c>
      <c r="C7" s="2" t="s">
        <v>37</v>
      </c>
      <c r="D7" s="37" t="s">
        <v>94</v>
      </c>
      <c r="E7" s="22">
        <v>3</v>
      </c>
      <c r="F7" s="22">
        <v>200</v>
      </c>
      <c r="G7" s="22">
        <f t="shared" si="0"/>
        <v>197</v>
      </c>
      <c r="H7" s="33">
        <v>5999000</v>
      </c>
      <c r="I7" s="45">
        <f>SUM(Table2[[#This Row],[Price]]*Table2[[#This Row],[Quantity]])</f>
        <v>17997000</v>
      </c>
      <c r="J7" s="51" t="str">
        <f>VLOOKUP(Table2[[#This Row],[Item Name]],Table11[],6,0)</f>
        <v>P-SMRT-SR0121</v>
      </c>
    </row>
    <row r="8" spans="1:21" x14ac:dyDescent="0.25">
      <c r="A8" s="13" t="s">
        <v>73</v>
      </c>
      <c r="B8" s="39">
        <f>DATE(2019,3,28)</f>
        <v>43552</v>
      </c>
      <c r="C8" s="2" t="s">
        <v>8</v>
      </c>
      <c r="D8" s="37" t="s">
        <v>93</v>
      </c>
      <c r="E8" s="22">
        <v>4</v>
      </c>
      <c r="F8" s="22">
        <v>200</v>
      </c>
      <c r="G8" s="22">
        <f t="shared" si="0"/>
        <v>196</v>
      </c>
      <c r="H8" s="33">
        <v>9999000</v>
      </c>
      <c r="I8" s="45">
        <f>SUM(Table2[[#This Row],[Price]]*Table2[[#This Row],[Quantity]])</f>
        <v>39996000</v>
      </c>
      <c r="J8" s="51" t="str">
        <f>VLOOKUP(Table2[[#This Row],[Item Name]],Table11[],6,0)</f>
        <v>P-SMRT-SRN0684</v>
      </c>
    </row>
    <row r="9" spans="1:21" x14ac:dyDescent="0.25">
      <c r="A9" s="13" t="s">
        <v>74</v>
      </c>
      <c r="B9" s="39">
        <v>43585</v>
      </c>
      <c r="C9" s="2" t="s">
        <v>36</v>
      </c>
      <c r="D9" s="37" t="s">
        <v>95</v>
      </c>
      <c r="E9" s="22">
        <v>10</v>
      </c>
      <c r="F9" s="22">
        <v>200</v>
      </c>
      <c r="G9" s="22">
        <f t="shared" si="0"/>
        <v>190</v>
      </c>
      <c r="H9" s="33">
        <v>3999000</v>
      </c>
      <c r="I9" s="45">
        <f>SUM(Table2[[#This Row],[Price]]*Table2[[#This Row],[Quantity]])</f>
        <v>39990000</v>
      </c>
      <c r="J9" s="51" t="str">
        <f>VLOOKUP(Table2[[#This Row],[Item Name]],Table11[],6,0)</f>
        <v>P-SMRT-SK0111</v>
      </c>
    </row>
    <row r="10" spans="1:21" x14ac:dyDescent="0.25">
      <c r="A10" s="13" t="s">
        <v>75</v>
      </c>
      <c r="B10" s="39">
        <v>43607</v>
      </c>
      <c r="C10" s="2" t="s">
        <v>25</v>
      </c>
      <c r="D10" s="37" t="s">
        <v>92</v>
      </c>
      <c r="E10" s="22">
        <v>8</v>
      </c>
      <c r="F10" s="22">
        <v>200</v>
      </c>
      <c r="G10" s="22">
        <f t="shared" si="0"/>
        <v>192</v>
      </c>
      <c r="H10" s="33">
        <v>1350000</v>
      </c>
      <c r="I10" s="45">
        <f>SUM(Table2[[#This Row],[Price]]*Table2[[#This Row],[Quantity]])</f>
        <v>10800000</v>
      </c>
      <c r="J10" s="51" t="str">
        <f>VLOOKUP(Table2[[#This Row],[Item Name]],Table11[],6,0)</f>
        <v>P-SMRT-SF0524</v>
      </c>
    </row>
    <row r="11" spans="1:21" x14ac:dyDescent="0.25">
      <c r="A11" s="13" t="s">
        <v>76</v>
      </c>
      <c r="B11" s="39">
        <v>43635</v>
      </c>
      <c r="C11" s="2" t="s">
        <v>34</v>
      </c>
      <c r="D11" s="37" t="s">
        <v>91</v>
      </c>
      <c r="E11" s="22">
        <v>7</v>
      </c>
      <c r="F11" s="22">
        <v>200</v>
      </c>
      <c r="G11" s="22">
        <f t="shared" si="0"/>
        <v>193</v>
      </c>
      <c r="H11" s="33">
        <v>9999000</v>
      </c>
      <c r="I11" s="45">
        <f>SUM(Table2[[#This Row],[Price]]*Table2[[#This Row],[Quantity]])</f>
        <v>69993000</v>
      </c>
      <c r="J11" s="51" t="str">
        <f>VLOOKUP(Table2[[#This Row],[Item Name]],Table11[],6,0)</f>
        <v>P-SMRT-SFX010</v>
      </c>
    </row>
    <row r="12" spans="1:21" x14ac:dyDescent="0.25">
      <c r="A12" s="13" t="s">
        <v>77</v>
      </c>
      <c r="B12" s="39">
        <v>43672</v>
      </c>
      <c r="C12" s="2" t="s">
        <v>26</v>
      </c>
      <c r="D12" s="37" t="s">
        <v>92</v>
      </c>
      <c r="E12" s="22">
        <v>2</v>
      </c>
      <c r="F12" s="22">
        <v>200</v>
      </c>
      <c r="G12" s="22">
        <f t="shared" si="0"/>
        <v>198</v>
      </c>
      <c r="H12" s="33">
        <v>1699000</v>
      </c>
      <c r="I12" s="45">
        <f>SUM(Table2[[#This Row],[Price]]*Table2[[#This Row],[Quantity]])</f>
        <v>3398000</v>
      </c>
      <c r="J12" s="51" t="str">
        <f>VLOOKUP(Table2[[#This Row],[Item Name]],Table11[],6,0)</f>
        <v>P-SMRT-SF0712</v>
      </c>
    </row>
    <row r="13" spans="1:21" x14ac:dyDescent="0.25">
      <c r="A13" s="13" t="s">
        <v>78</v>
      </c>
      <c r="B13" s="39">
        <v>43699</v>
      </c>
      <c r="C13" s="2" t="s">
        <v>12</v>
      </c>
      <c r="D13" s="37" t="s">
        <v>90</v>
      </c>
      <c r="E13" s="22">
        <v>6</v>
      </c>
      <c r="F13" s="22">
        <v>200</v>
      </c>
      <c r="G13" s="22">
        <f t="shared" si="0"/>
        <v>194</v>
      </c>
      <c r="H13" s="33">
        <v>2149900</v>
      </c>
      <c r="I13" s="45">
        <f>SUM(Table2[[#This Row],[Price]]*Table2[[#This Row],[Quantity]])</f>
        <v>12899400</v>
      </c>
      <c r="J13" s="51" t="str">
        <f>VLOOKUP(Table2[[#This Row],[Item Name]],Table11[],6,0)</f>
        <v>P-SMRT-SA03</v>
      </c>
    </row>
    <row r="14" spans="1:21" x14ac:dyDescent="0.25">
      <c r="A14" s="13" t="s">
        <v>79</v>
      </c>
      <c r="B14" s="39">
        <v>43709</v>
      </c>
      <c r="C14" s="2" t="s">
        <v>5</v>
      </c>
      <c r="D14" s="37" t="s">
        <v>96</v>
      </c>
      <c r="E14" s="22">
        <v>4</v>
      </c>
      <c r="F14" s="22">
        <v>200</v>
      </c>
      <c r="G14" s="22">
        <f t="shared" si="0"/>
        <v>196</v>
      </c>
      <c r="H14" s="33">
        <v>4999000</v>
      </c>
      <c r="I14" s="45">
        <f>SUM(Table2[[#This Row],[Price]]*Table2[[#This Row],[Quantity]])</f>
        <v>19996000</v>
      </c>
      <c r="J14" s="51" t="str">
        <f>VLOOKUP(Table2[[#This Row],[Item Name]],Table11[],6,0)</f>
        <v>P-SMRT-SRN0312</v>
      </c>
    </row>
    <row r="15" spans="1:21" x14ac:dyDescent="0.25">
      <c r="A15" s="13" t="s">
        <v>80</v>
      </c>
      <c r="B15" s="39">
        <v>43749</v>
      </c>
      <c r="C15" s="2" t="s">
        <v>19</v>
      </c>
      <c r="D15" s="37" t="s">
        <v>90</v>
      </c>
      <c r="E15" s="22">
        <v>3</v>
      </c>
      <c r="F15" s="22">
        <v>200</v>
      </c>
      <c r="G15" s="22">
        <f t="shared" si="0"/>
        <v>197</v>
      </c>
      <c r="H15" s="33">
        <v>3699000</v>
      </c>
      <c r="I15" s="45">
        <f>SUM(Table2[[#This Row],[Price]]*Table2[[#This Row],[Quantity]])</f>
        <v>11097000</v>
      </c>
      <c r="J15" s="51" t="str">
        <f>VLOOKUP(Table2[[#This Row],[Item Name]],Table11[],6,0)</f>
        <v>P-SMRT-SA10</v>
      </c>
    </row>
    <row r="16" spans="1:21" x14ac:dyDescent="0.25">
      <c r="A16" s="13" t="s">
        <v>81</v>
      </c>
      <c r="B16" s="39">
        <v>43796</v>
      </c>
      <c r="C16" s="2" t="s">
        <v>29</v>
      </c>
      <c r="D16" s="37" t="s">
        <v>97</v>
      </c>
      <c r="E16" s="22">
        <v>8</v>
      </c>
      <c r="F16" s="22">
        <v>200</v>
      </c>
      <c r="G16" s="22">
        <f t="shared" si="0"/>
        <v>192</v>
      </c>
      <c r="H16" s="33">
        <v>3299000</v>
      </c>
      <c r="I16" s="45">
        <f>SUM(Table2[[#This Row],[Price]]*Table2[[#This Row],[Quantity]])</f>
        <v>26392000</v>
      </c>
      <c r="J16" s="51" t="str">
        <f>VLOOKUP(Table2[[#This Row],[Item Name]],Table11[],6,0)</f>
        <v>P-SMRT-SF0983</v>
      </c>
    </row>
    <row r="17" spans="1:10" x14ac:dyDescent="0.25">
      <c r="A17" s="13" t="s">
        <v>82</v>
      </c>
      <c r="B17" s="39">
        <v>44170</v>
      </c>
      <c r="C17" s="2" t="s">
        <v>18</v>
      </c>
      <c r="D17" s="37" t="s">
        <v>90</v>
      </c>
      <c r="E17" s="22">
        <v>9</v>
      </c>
      <c r="F17" s="22">
        <v>200</v>
      </c>
      <c r="G17" s="22">
        <f t="shared" si="0"/>
        <v>191</v>
      </c>
      <c r="H17" s="33">
        <v>2099000</v>
      </c>
      <c r="I17" s="45">
        <f>SUM(Table2[[#This Row],[Price]]*Table2[[#This Row],[Quantity]])</f>
        <v>18891000</v>
      </c>
      <c r="J17" s="51" t="str">
        <f>VLOOKUP(Table2[[#This Row],[Item Name]],Table11[],6,0)</f>
        <v>P-SMRT-SA09</v>
      </c>
    </row>
    <row r="18" spans="1:10" x14ac:dyDescent="0.25">
      <c r="A18" s="16" t="s">
        <v>83</v>
      </c>
      <c r="B18" s="40">
        <v>43858</v>
      </c>
      <c r="C18" s="24" t="s">
        <v>6</v>
      </c>
      <c r="D18" s="41" t="s">
        <v>93</v>
      </c>
      <c r="E18" s="25">
        <v>5</v>
      </c>
      <c r="F18" s="22">
        <v>200</v>
      </c>
      <c r="G18" s="22">
        <f t="shared" si="0"/>
        <v>195</v>
      </c>
      <c r="H18" s="34">
        <v>6299000</v>
      </c>
      <c r="I18" s="45">
        <f>SUM(Table2[[#This Row],[Price]]*Table2[[#This Row],[Quantity]])</f>
        <v>31495000</v>
      </c>
      <c r="J18" s="51" t="str">
        <f>VLOOKUP(Table2[[#This Row],[Item Name]],Table11[],6,0)</f>
        <v>P-SMRT-SRN0421</v>
      </c>
    </row>
  </sheetData>
  <sheetProtection insertColumns="0" autoFilter="0" pivotTables="0"/>
  <scenarios current="0" show="0" sqref="D3:D18">
    <scenario name="CCIT" count="16" user="HP" comment="Created by HP on 15/01/2020">
      <inputCells r="I3" val="3198000"/>
      <inputCells r="I4" val="7995000"/>
      <inputCells r="I5" val="7999000"/>
      <inputCells r="I6" val="29997000"/>
      <inputCells r="I7" val="17997000"/>
      <inputCells r="I8" val="39996000"/>
      <inputCells r="I9" val="39990000"/>
      <inputCells r="I10" val="10800000"/>
      <inputCells r="I11" val="69993000"/>
      <inputCells r="I12" val="3398000"/>
      <inputCells r="I13" val="12899400"/>
      <inputCells r="I14" val="19996000"/>
      <inputCells r="I15" val="11097000"/>
      <inputCells r="I16" val="26392000"/>
      <inputCells r="I17" val="18891000"/>
      <inputCells r="I18" val="31495000"/>
    </scenario>
  </scenarios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A5FF-B077-4AE0-8ACD-01EE957A9AF6}">
  <dimension ref="B3:C102"/>
  <sheetViews>
    <sheetView topLeftCell="A16" workbookViewId="0">
      <selection activeCell="G9" sqref="G9"/>
    </sheetView>
  </sheetViews>
  <sheetFormatPr defaultRowHeight="15" x14ac:dyDescent="0.25"/>
  <cols>
    <col min="2" max="2" width="32.28515625" bestFit="1" customWidth="1"/>
    <col min="3" max="3" width="13.5703125" bestFit="1" customWidth="1"/>
    <col min="4" max="4" width="14.28515625" bestFit="1" customWidth="1"/>
    <col min="5" max="5" width="11.42578125" bestFit="1" customWidth="1"/>
    <col min="6" max="6" width="14.140625" bestFit="1" customWidth="1"/>
    <col min="7" max="7" width="14.28515625" bestFit="1" customWidth="1"/>
    <col min="8" max="8" width="12.7109375" bestFit="1" customWidth="1"/>
    <col min="9" max="9" width="14.28515625" bestFit="1" customWidth="1"/>
    <col min="10" max="10" width="13.85546875" bestFit="1" customWidth="1"/>
    <col min="11" max="11" width="17.42578125" bestFit="1" customWidth="1"/>
    <col min="12" max="13" width="12.42578125" bestFit="1" customWidth="1"/>
    <col min="14" max="14" width="26.85546875" bestFit="1" customWidth="1"/>
    <col min="15" max="15" width="16.42578125" bestFit="1" customWidth="1"/>
    <col min="16" max="16" width="12.42578125" bestFit="1" customWidth="1"/>
    <col min="17" max="18" width="13.5703125" bestFit="1" customWidth="1"/>
    <col min="19" max="19" width="14.140625" bestFit="1" customWidth="1"/>
    <col min="20" max="20" width="9.5703125" bestFit="1" customWidth="1"/>
    <col min="21" max="21" width="14" bestFit="1" customWidth="1"/>
    <col min="22" max="22" width="14.140625" bestFit="1" customWidth="1"/>
    <col min="23" max="23" width="12.5703125" bestFit="1" customWidth="1"/>
    <col min="24" max="24" width="14.140625" bestFit="1" customWidth="1"/>
    <col min="25" max="25" width="13.7109375" bestFit="1" customWidth="1"/>
    <col min="26" max="26" width="17.28515625" bestFit="1" customWidth="1"/>
    <col min="27" max="27" width="8.42578125" bestFit="1" customWidth="1"/>
    <col min="28" max="28" width="9.42578125" bestFit="1" customWidth="1"/>
    <col min="29" max="29" width="26.7109375" bestFit="1" customWidth="1"/>
    <col min="30" max="30" width="16.28515625" bestFit="1" customWidth="1"/>
    <col min="31" max="31" width="12.28515625" bestFit="1" customWidth="1"/>
    <col min="32" max="32" width="13.42578125" bestFit="1" customWidth="1"/>
    <col min="33" max="33" width="17" bestFit="1" customWidth="1"/>
    <col min="34" max="34" width="14.140625" bestFit="1" customWidth="1"/>
    <col min="35" max="35" width="9.5703125" bestFit="1" customWidth="1"/>
    <col min="36" max="36" width="14" bestFit="1" customWidth="1"/>
    <col min="37" max="37" width="14.140625" bestFit="1" customWidth="1"/>
    <col min="38" max="38" width="12.5703125" bestFit="1" customWidth="1"/>
    <col min="39" max="39" width="14.140625" bestFit="1" customWidth="1"/>
    <col min="40" max="40" width="13.7109375" bestFit="1" customWidth="1"/>
    <col min="41" max="41" width="17.28515625" bestFit="1" customWidth="1"/>
    <col min="42" max="42" width="9" bestFit="1" customWidth="1"/>
    <col min="43" max="43" width="9.42578125" bestFit="1" customWidth="1"/>
    <col min="44" max="44" width="26.7109375" bestFit="1" customWidth="1"/>
    <col min="45" max="45" width="16.28515625" bestFit="1" customWidth="1"/>
    <col min="46" max="46" width="12.28515625" bestFit="1" customWidth="1"/>
    <col min="47" max="47" width="13.42578125" bestFit="1" customWidth="1"/>
    <col min="48" max="48" width="20.42578125" bestFit="1" customWidth="1"/>
    <col min="49" max="49" width="17" bestFit="1" customWidth="1"/>
    <col min="50" max="50" width="22.140625" bestFit="1" customWidth="1"/>
    <col min="51" max="51" width="20.42578125" bestFit="1" customWidth="1"/>
    <col min="52" max="52" width="17" bestFit="1" customWidth="1"/>
    <col min="53" max="53" width="22.140625" bestFit="1" customWidth="1"/>
  </cols>
  <sheetData>
    <row r="3" spans="2:3" x14ac:dyDescent="0.25">
      <c r="B3" s="76" t="s">
        <v>48</v>
      </c>
      <c r="C3" s="2"/>
    </row>
    <row r="4" spans="2:3" x14ac:dyDescent="0.25">
      <c r="B4" s="77">
        <v>43415</v>
      </c>
      <c r="C4" s="75"/>
    </row>
    <row r="5" spans="2:3" x14ac:dyDescent="0.25">
      <c r="B5" s="78" t="s">
        <v>68</v>
      </c>
      <c r="C5" s="75"/>
    </row>
    <row r="6" spans="2:3" x14ac:dyDescent="0.25">
      <c r="B6" s="80" t="s">
        <v>10</v>
      </c>
      <c r="C6" s="75"/>
    </row>
    <row r="7" spans="2:3" x14ac:dyDescent="0.25">
      <c r="B7" s="81" t="s">
        <v>59</v>
      </c>
      <c r="C7" s="75">
        <v>1599000</v>
      </c>
    </row>
    <row r="8" spans="2:3" x14ac:dyDescent="0.25">
      <c r="B8" s="81" t="s">
        <v>101</v>
      </c>
      <c r="C8" s="75">
        <v>2</v>
      </c>
    </row>
    <row r="9" spans="2:3" x14ac:dyDescent="0.25">
      <c r="B9" s="81" t="s">
        <v>100</v>
      </c>
      <c r="C9" s="75">
        <v>3198000</v>
      </c>
    </row>
    <row r="10" spans="2:3" x14ac:dyDescent="0.25">
      <c r="B10" s="77">
        <v>43452</v>
      </c>
      <c r="C10" s="75"/>
    </row>
    <row r="11" spans="2:3" x14ac:dyDescent="0.25">
      <c r="B11" s="78" t="s">
        <v>70</v>
      </c>
      <c r="C11" s="75"/>
    </row>
    <row r="12" spans="2:3" x14ac:dyDescent="0.25">
      <c r="B12" s="80" t="s">
        <v>3</v>
      </c>
      <c r="C12" s="75"/>
    </row>
    <row r="13" spans="2:3" x14ac:dyDescent="0.25">
      <c r="B13" s="81" t="s">
        <v>59</v>
      </c>
      <c r="C13" s="75">
        <v>7999000</v>
      </c>
    </row>
    <row r="14" spans="2:3" x14ac:dyDescent="0.25">
      <c r="B14" s="81" t="s">
        <v>101</v>
      </c>
      <c r="C14" s="75">
        <v>1</v>
      </c>
    </row>
    <row r="15" spans="2:3" x14ac:dyDescent="0.25">
      <c r="B15" s="81" t="s">
        <v>100</v>
      </c>
      <c r="C15" s="75">
        <v>7999000</v>
      </c>
    </row>
    <row r="16" spans="2:3" x14ac:dyDescent="0.25">
      <c r="B16" s="77">
        <v>43466</v>
      </c>
      <c r="C16" s="75"/>
    </row>
    <row r="17" spans="2:3" x14ac:dyDescent="0.25">
      <c r="B17" s="78" t="s">
        <v>71</v>
      </c>
      <c r="C17" s="75"/>
    </row>
    <row r="18" spans="2:3" x14ac:dyDescent="0.25">
      <c r="B18" s="80" t="s">
        <v>34</v>
      </c>
      <c r="C18" s="75"/>
    </row>
    <row r="19" spans="2:3" x14ac:dyDescent="0.25">
      <c r="B19" s="81" t="s">
        <v>59</v>
      </c>
      <c r="C19" s="75">
        <v>9999000</v>
      </c>
    </row>
    <row r="20" spans="2:3" x14ac:dyDescent="0.25">
      <c r="B20" s="81" t="s">
        <v>101</v>
      </c>
      <c r="C20" s="75">
        <v>3</v>
      </c>
    </row>
    <row r="21" spans="2:3" x14ac:dyDescent="0.25">
      <c r="B21" s="81" t="s">
        <v>100</v>
      </c>
      <c r="C21" s="75">
        <v>29997000</v>
      </c>
    </row>
    <row r="22" spans="2:3" x14ac:dyDescent="0.25">
      <c r="B22" s="77">
        <v>43514</v>
      </c>
      <c r="C22" s="75"/>
    </row>
    <row r="23" spans="2:3" x14ac:dyDescent="0.25">
      <c r="B23" s="78" t="s">
        <v>72</v>
      </c>
      <c r="C23" s="75"/>
    </row>
    <row r="24" spans="2:3" x14ac:dyDescent="0.25">
      <c r="B24" s="80" t="s">
        <v>37</v>
      </c>
      <c r="C24" s="75"/>
    </row>
    <row r="25" spans="2:3" x14ac:dyDescent="0.25">
      <c r="B25" s="81" t="s">
        <v>59</v>
      </c>
      <c r="C25" s="75">
        <v>5999000</v>
      </c>
    </row>
    <row r="26" spans="2:3" x14ac:dyDescent="0.25">
      <c r="B26" s="81" t="s">
        <v>101</v>
      </c>
      <c r="C26" s="75">
        <v>3</v>
      </c>
    </row>
    <row r="27" spans="2:3" x14ac:dyDescent="0.25">
      <c r="B27" s="81" t="s">
        <v>100</v>
      </c>
      <c r="C27" s="75">
        <v>17997000</v>
      </c>
    </row>
    <row r="28" spans="2:3" x14ac:dyDescent="0.25">
      <c r="B28" s="77">
        <v>43552</v>
      </c>
      <c r="C28" s="75"/>
    </row>
    <row r="29" spans="2:3" x14ac:dyDescent="0.25">
      <c r="B29" s="78" t="s">
        <v>73</v>
      </c>
      <c r="C29" s="75"/>
    </row>
    <row r="30" spans="2:3" x14ac:dyDescent="0.25">
      <c r="B30" s="80" t="s">
        <v>8</v>
      </c>
      <c r="C30" s="75"/>
    </row>
    <row r="31" spans="2:3" x14ac:dyDescent="0.25">
      <c r="B31" s="81" t="s">
        <v>59</v>
      </c>
      <c r="C31" s="75">
        <v>9999000</v>
      </c>
    </row>
    <row r="32" spans="2:3" x14ac:dyDescent="0.25">
      <c r="B32" s="81" t="s">
        <v>101</v>
      </c>
      <c r="C32" s="75">
        <v>4</v>
      </c>
    </row>
    <row r="33" spans="2:3" x14ac:dyDescent="0.25">
      <c r="B33" s="81" t="s">
        <v>100</v>
      </c>
      <c r="C33" s="75">
        <v>39996000</v>
      </c>
    </row>
    <row r="34" spans="2:3" x14ac:dyDescent="0.25">
      <c r="B34" s="77">
        <v>43585</v>
      </c>
      <c r="C34" s="75"/>
    </row>
    <row r="35" spans="2:3" x14ac:dyDescent="0.25">
      <c r="B35" s="78" t="s">
        <v>74</v>
      </c>
      <c r="C35" s="75"/>
    </row>
    <row r="36" spans="2:3" x14ac:dyDescent="0.25">
      <c r="B36" s="80" t="s">
        <v>36</v>
      </c>
      <c r="C36" s="75"/>
    </row>
    <row r="37" spans="2:3" x14ac:dyDescent="0.25">
      <c r="B37" s="81" t="s">
        <v>59</v>
      </c>
      <c r="C37" s="75">
        <v>3999000</v>
      </c>
    </row>
    <row r="38" spans="2:3" x14ac:dyDescent="0.25">
      <c r="B38" s="81" t="s">
        <v>101</v>
      </c>
      <c r="C38" s="75">
        <v>10</v>
      </c>
    </row>
    <row r="39" spans="2:3" x14ac:dyDescent="0.25">
      <c r="B39" s="81" t="s">
        <v>100</v>
      </c>
      <c r="C39" s="75">
        <v>39990000</v>
      </c>
    </row>
    <row r="40" spans="2:3" x14ac:dyDescent="0.25">
      <c r="B40" s="77">
        <v>43607</v>
      </c>
      <c r="C40" s="75"/>
    </row>
    <row r="41" spans="2:3" x14ac:dyDescent="0.25">
      <c r="B41" s="78" t="s">
        <v>75</v>
      </c>
      <c r="C41" s="75"/>
    </row>
    <row r="42" spans="2:3" x14ac:dyDescent="0.25">
      <c r="B42" s="80" t="s">
        <v>25</v>
      </c>
      <c r="C42" s="75"/>
    </row>
    <row r="43" spans="2:3" x14ac:dyDescent="0.25">
      <c r="B43" s="81" t="s">
        <v>59</v>
      </c>
      <c r="C43" s="75">
        <v>1350000</v>
      </c>
    </row>
    <row r="44" spans="2:3" x14ac:dyDescent="0.25">
      <c r="B44" s="81" t="s">
        <v>101</v>
      </c>
      <c r="C44" s="75">
        <v>8</v>
      </c>
    </row>
    <row r="45" spans="2:3" x14ac:dyDescent="0.25">
      <c r="B45" s="81" t="s">
        <v>100</v>
      </c>
      <c r="C45" s="75">
        <v>10800000</v>
      </c>
    </row>
    <row r="46" spans="2:3" x14ac:dyDescent="0.25">
      <c r="B46" s="77">
        <v>43635</v>
      </c>
      <c r="C46" s="75"/>
    </row>
    <row r="47" spans="2:3" x14ac:dyDescent="0.25">
      <c r="B47" s="78" t="s">
        <v>76</v>
      </c>
      <c r="C47" s="75"/>
    </row>
    <row r="48" spans="2:3" x14ac:dyDescent="0.25">
      <c r="B48" s="80" t="s">
        <v>34</v>
      </c>
      <c r="C48" s="75"/>
    </row>
    <row r="49" spans="2:3" x14ac:dyDescent="0.25">
      <c r="B49" s="81" t="s">
        <v>59</v>
      </c>
      <c r="C49" s="75">
        <v>9999000</v>
      </c>
    </row>
    <row r="50" spans="2:3" x14ac:dyDescent="0.25">
      <c r="B50" s="81" t="s">
        <v>101</v>
      </c>
      <c r="C50" s="75">
        <v>7</v>
      </c>
    </row>
    <row r="51" spans="2:3" x14ac:dyDescent="0.25">
      <c r="B51" s="81" t="s">
        <v>100</v>
      </c>
      <c r="C51" s="75">
        <v>69993000</v>
      </c>
    </row>
    <row r="52" spans="2:3" x14ac:dyDescent="0.25">
      <c r="B52" s="77">
        <v>43672</v>
      </c>
      <c r="C52" s="75"/>
    </row>
    <row r="53" spans="2:3" x14ac:dyDescent="0.25">
      <c r="B53" s="78" t="s">
        <v>77</v>
      </c>
      <c r="C53" s="75"/>
    </row>
    <row r="54" spans="2:3" x14ac:dyDescent="0.25">
      <c r="B54" s="80" t="s">
        <v>26</v>
      </c>
      <c r="C54" s="75"/>
    </row>
    <row r="55" spans="2:3" x14ac:dyDescent="0.25">
      <c r="B55" s="81" t="s">
        <v>59</v>
      </c>
      <c r="C55" s="75">
        <v>1699000</v>
      </c>
    </row>
    <row r="56" spans="2:3" x14ac:dyDescent="0.25">
      <c r="B56" s="81" t="s">
        <v>101</v>
      </c>
      <c r="C56" s="75">
        <v>2</v>
      </c>
    </row>
    <row r="57" spans="2:3" x14ac:dyDescent="0.25">
      <c r="B57" s="81" t="s">
        <v>100</v>
      </c>
      <c r="C57" s="75">
        <v>3398000</v>
      </c>
    </row>
    <row r="58" spans="2:3" x14ac:dyDescent="0.25">
      <c r="B58" s="77">
        <v>43699</v>
      </c>
      <c r="C58" s="75"/>
    </row>
    <row r="59" spans="2:3" x14ac:dyDescent="0.25">
      <c r="B59" s="78" t="s">
        <v>78</v>
      </c>
      <c r="C59" s="75"/>
    </row>
    <row r="60" spans="2:3" x14ac:dyDescent="0.25">
      <c r="B60" s="80" t="s">
        <v>12</v>
      </c>
      <c r="C60" s="75"/>
    </row>
    <row r="61" spans="2:3" x14ac:dyDescent="0.25">
      <c r="B61" s="81" t="s">
        <v>59</v>
      </c>
      <c r="C61" s="75">
        <v>2149900</v>
      </c>
    </row>
    <row r="62" spans="2:3" x14ac:dyDescent="0.25">
      <c r="B62" s="81" t="s">
        <v>101</v>
      </c>
      <c r="C62" s="75">
        <v>6</v>
      </c>
    </row>
    <row r="63" spans="2:3" x14ac:dyDescent="0.25">
      <c r="B63" s="81" t="s">
        <v>100</v>
      </c>
      <c r="C63" s="75">
        <v>12899400</v>
      </c>
    </row>
    <row r="64" spans="2:3" x14ac:dyDescent="0.25">
      <c r="B64" s="77">
        <v>43709</v>
      </c>
      <c r="C64" s="75"/>
    </row>
    <row r="65" spans="2:3" x14ac:dyDescent="0.25">
      <c r="B65" s="78" t="s">
        <v>79</v>
      </c>
      <c r="C65" s="75"/>
    </row>
    <row r="66" spans="2:3" x14ac:dyDescent="0.25">
      <c r="B66" s="80" t="s">
        <v>5</v>
      </c>
      <c r="C66" s="75"/>
    </row>
    <row r="67" spans="2:3" x14ac:dyDescent="0.25">
      <c r="B67" s="81" t="s">
        <v>59</v>
      </c>
      <c r="C67" s="75">
        <v>4999000</v>
      </c>
    </row>
    <row r="68" spans="2:3" x14ac:dyDescent="0.25">
      <c r="B68" s="81" t="s">
        <v>101</v>
      </c>
      <c r="C68" s="75">
        <v>4</v>
      </c>
    </row>
    <row r="69" spans="2:3" x14ac:dyDescent="0.25">
      <c r="B69" s="81" t="s">
        <v>100</v>
      </c>
      <c r="C69" s="75">
        <v>19996000</v>
      </c>
    </row>
    <row r="70" spans="2:3" x14ac:dyDescent="0.25">
      <c r="B70" s="77">
        <v>43749</v>
      </c>
      <c r="C70" s="75"/>
    </row>
    <row r="71" spans="2:3" x14ac:dyDescent="0.25">
      <c r="B71" s="78" t="s">
        <v>80</v>
      </c>
      <c r="C71" s="75"/>
    </row>
    <row r="72" spans="2:3" x14ac:dyDescent="0.25">
      <c r="B72" s="80" t="s">
        <v>19</v>
      </c>
      <c r="C72" s="75"/>
    </row>
    <row r="73" spans="2:3" x14ac:dyDescent="0.25">
      <c r="B73" s="81" t="s">
        <v>59</v>
      </c>
      <c r="C73" s="75">
        <v>3699000</v>
      </c>
    </row>
    <row r="74" spans="2:3" x14ac:dyDescent="0.25">
      <c r="B74" s="81" t="s">
        <v>101</v>
      </c>
      <c r="C74" s="75">
        <v>3</v>
      </c>
    </row>
    <row r="75" spans="2:3" x14ac:dyDescent="0.25">
      <c r="B75" s="81" t="s">
        <v>100</v>
      </c>
      <c r="C75" s="75">
        <v>11097000</v>
      </c>
    </row>
    <row r="76" spans="2:3" x14ac:dyDescent="0.25">
      <c r="B76" s="77">
        <v>43796</v>
      </c>
      <c r="C76" s="75"/>
    </row>
    <row r="77" spans="2:3" x14ac:dyDescent="0.25">
      <c r="B77" s="78" t="s">
        <v>81</v>
      </c>
      <c r="C77" s="75"/>
    </row>
    <row r="78" spans="2:3" x14ac:dyDescent="0.25">
      <c r="B78" s="80" t="s">
        <v>29</v>
      </c>
      <c r="C78" s="75"/>
    </row>
    <row r="79" spans="2:3" x14ac:dyDescent="0.25">
      <c r="B79" s="81" t="s">
        <v>59</v>
      </c>
      <c r="C79" s="75">
        <v>3299000</v>
      </c>
    </row>
    <row r="80" spans="2:3" x14ac:dyDescent="0.25">
      <c r="B80" s="81" t="s">
        <v>101</v>
      </c>
      <c r="C80" s="75">
        <v>8</v>
      </c>
    </row>
    <row r="81" spans="2:3" x14ac:dyDescent="0.25">
      <c r="B81" s="81" t="s">
        <v>100</v>
      </c>
      <c r="C81" s="75">
        <v>26392000</v>
      </c>
    </row>
    <row r="82" spans="2:3" x14ac:dyDescent="0.25">
      <c r="B82" s="77">
        <v>43810</v>
      </c>
      <c r="C82" s="75"/>
    </row>
    <row r="83" spans="2:3" x14ac:dyDescent="0.25">
      <c r="B83" s="78" t="s">
        <v>69</v>
      </c>
      <c r="C83" s="75"/>
    </row>
    <row r="84" spans="2:3" x14ac:dyDescent="0.25">
      <c r="B84" s="80" t="s">
        <v>16</v>
      </c>
      <c r="C84" s="75"/>
    </row>
    <row r="85" spans="2:3" x14ac:dyDescent="0.25">
      <c r="B85" s="81" t="s">
        <v>59</v>
      </c>
      <c r="C85" s="75">
        <v>1599000</v>
      </c>
    </row>
    <row r="86" spans="2:3" x14ac:dyDescent="0.25">
      <c r="B86" s="81" t="s">
        <v>101</v>
      </c>
      <c r="C86" s="75">
        <v>5</v>
      </c>
    </row>
    <row r="87" spans="2:3" x14ac:dyDescent="0.25">
      <c r="B87" s="81" t="s">
        <v>100</v>
      </c>
      <c r="C87" s="75">
        <v>7995000</v>
      </c>
    </row>
    <row r="88" spans="2:3" x14ac:dyDescent="0.25">
      <c r="B88" s="77">
        <v>43858</v>
      </c>
      <c r="C88" s="75"/>
    </row>
    <row r="89" spans="2:3" x14ac:dyDescent="0.25">
      <c r="B89" s="78" t="s">
        <v>83</v>
      </c>
      <c r="C89" s="75"/>
    </row>
    <row r="90" spans="2:3" x14ac:dyDescent="0.25">
      <c r="B90" s="80" t="s">
        <v>6</v>
      </c>
      <c r="C90" s="75"/>
    </row>
    <row r="91" spans="2:3" x14ac:dyDescent="0.25">
      <c r="B91" s="81" t="s">
        <v>59</v>
      </c>
      <c r="C91" s="75">
        <v>6299000</v>
      </c>
    </row>
    <row r="92" spans="2:3" x14ac:dyDescent="0.25">
      <c r="B92" s="81" t="s">
        <v>101</v>
      </c>
      <c r="C92" s="75">
        <v>5</v>
      </c>
    </row>
    <row r="93" spans="2:3" x14ac:dyDescent="0.25">
      <c r="B93" s="81" t="s">
        <v>100</v>
      </c>
      <c r="C93" s="75">
        <v>31495000</v>
      </c>
    </row>
    <row r="94" spans="2:3" x14ac:dyDescent="0.25">
      <c r="B94" s="77">
        <v>44170</v>
      </c>
      <c r="C94" s="75"/>
    </row>
    <row r="95" spans="2:3" x14ac:dyDescent="0.25">
      <c r="B95" s="78" t="s">
        <v>82</v>
      </c>
      <c r="C95" s="75"/>
    </row>
    <row r="96" spans="2:3" x14ac:dyDescent="0.25">
      <c r="B96" s="80" t="s">
        <v>18</v>
      </c>
      <c r="C96" s="75"/>
    </row>
    <row r="97" spans="2:3" x14ac:dyDescent="0.25">
      <c r="B97" s="81" t="s">
        <v>59</v>
      </c>
      <c r="C97" s="75">
        <v>2099000</v>
      </c>
    </row>
    <row r="98" spans="2:3" x14ac:dyDescent="0.25">
      <c r="B98" s="81" t="s">
        <v>101</v>
      </c>
      <c r="C98" s="75">
        <v>9</v>
      </c>
    </row>
    <row r="99" spans="2:3" x14ac:dyDescent="0.25">
      <c r="B99" s="81" t="s">
        <v>100</v>
      </c>
      <c r="C99" s="75">
        <v>18891000</v>
      </c>
    </row>
    <row r="100" spans="2:3" x14ac:dyDescent="0.25">
      <c r="B100" s="79" t="s">
        <v>152</v>
      </c>
      <c r="C100" s="75">
        <v>76785900</v>
      </c>
    </row>
    <row r="101" spans="2:3" x14ac:dyDescent="0.25">
      <c r="B101" s="79" t="s">
        <v>153</v>
      </c>
      <c r="C101" s="75">
        <v>80</v>
      </c>
    </row>
    <row r="102" spans="2:3" x14ac:dyDescent="0.25">
      <c r="B102" s="79" t="s">
        <v>154</v>
      </c>
      <c r="C102" s="75">
        <v>352133400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6155-9B2B-4E81-A1C9-8902EBBC3A1A}">
  <dimension ref="A1:C7"/>
  <sheetViews>
    <sheetView workbookViewId="0">
      <selection activeCell="F24" sqref="F24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7" bestFit="1" customWidth="1"/>
  </cols>
  <sheetData>
    <row r="1" spans="1:3" x14ac:dyDescent="0.25">
      <c r="A1" s="6" t="s">
        <v>87</v>
      </c>
      <c r="B1" t="s">
        <v>146</v>
      </c>
    </row>
    <row r="3" spans="1:3" x14ac:dyDescent="0.25">
      <c r="A3" s="6" t="s">
        <v>48</v>
      </c>
      <c r="B3" t="s">
        <v>101</v>
      </c>
      <c r="C3" t="s">
        <v>100</v>
      </c>
    </row>
    <row r="4" spans="1:3" x14ac:dyDescent="0.25">
      <c r="A4" s="7" t="s">
        <v>61</v>
      </c>
      <c r="B4" s="60">
        <v>3</v>
      </c>
      <c r="C4" s="50">
        <v>11197000</v>
      </c>
    </row>
    <row r="5" spans="1:3" x14ac:dyDescent="0.25">
      <c r="A5" s="7" t="s">
        <v>60</v>
      </c>
      <c r="B5" s="60">
        <v>63</v>
      </c>
      <c r="C5" s="50">
        <v>290550400</v>
      </c>
    </row>
    <row r="6" spans="1:3" x14ac:dyDescent="0.25">
      <c r="A6" s="7" t="s">
        <v>99</v>
      </c>
      <c r="B6" s="60">
        <v>14</v>
      </c>
      <c r="C6" s="50">
        <v>50386000</v>
      </c>
    </row>
    <row r="7" spans="1:3" x14ac:dyDescent="0.25">
      <c r="A7" s="7" t="s">
        <v>49</v>
      </c>
      <c r="B7" s="60">
        <v>80</v>
      </c>
      <c r="C7" s="50">
        <v>352133400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4689-D1D1-4CA9-AE81-B16FF163807A}">
  <sheetPr>
    <outlinePr summaryBelow="0"/>
  </sheetPr>
  <dimension ref="B1:E41"/>
  <sheetViews>
    <sheetView showGridLines="0" tabSelected="1" topLeftCell="A29" workbookViewId="0">
      <selection activeCell="F21" sqref="F21"/>
    </sheetView>
  </sheetViews>
  <sheetFormatPr defaultRowHeight="15" outlineLevelRow="1" outlineLevelCol="1" x14ac:dyDescent="0.25"/>
  <cols>
    <col min="3" max="3" width="6.28515625" bestFit="1" customWidth="1"/>
    <col min="4" max="5" width="16.85546875" bestFit="1" customWidth="1" outlineLevel="1"/>
  </cols>
  <sheetData>
    <row r="1" spans="2:5" ht="15.75" thickBot="1" x14ac:dyDescent="0.3"/>
    <row r="2" spans="2:5" ht="15.75" x14ac:dyDescent="0.25">
      <c r="B2" s="66" t="s">
        <v>189</v>
      </c>
      <c r="C2" s="66"/>
      <c r="D2" s="71"/>
      <c r="E2" s="71"/>
    </row>
    <row r="3" spans="2:5" ht="15.75" collapsed="1" x14ac:dyDescent="0.25">
      <c r="B3" s="65"/>
      <c r="C3" s="65"/>
      <c r="D3" s="72" t="s">
        <v>191</v>
      </c>
      <c r="E3" s="72" t="s">
        <v>187</v>
      </c>
    </row>
    <row r="4" spans="2:5" ht="22.5" hidden="1" outlineLevel="1" x14ac:dyDescent="0.25">
      <c r="B4" s="68"/>
      <c r="C4" s="68"/>
      <c r="D4" s="62"/>
      <c r="E4" s="74" t="s">
        <v>188</v>
      </c>
    </row>
    <row r="5" spans="2:5" x14ac:dyDescent="0.25">
      <c r="B5" s="69" t="s">
        <v>190</v>
      </c>
      <c r="C5" s="69"/>
      <c r="D5" s="67"/>
      <c r="E5" s="67"/>
    </row>
    <row r="6" spans="2:5" outlineLevel="1" x14ac:dyDescent="0.25">
      <c r="B6" s="68"/>
      <c r="C6" s="68" t="s">
        <v>155</v>
      </c>
      <c r="D6" s="63">
        <v>3198000</v>
      </c>
      <c r="E6" s="73">
        <v>3198000</v>
      </c>
    </row>
    <row r="7" spans="2:5" outlineLevel="1" x14ac:dyDescent="0.25">
      <c r="B7" s="68"/>
      <c r="C7" s="68" t="s">
        <v>156</v>
      </c>
      <c r="D7" s="63">
        <v>7995000</v>
      </c>
      <c r="E7" s="73">
        <v>7995000</v>
      </c>
    </row>
    <row r="8" spans="2:5" outlineLevel="1" x14ac:dyDescent="0.25">
      <c r="B8" s="68"/>
      <c r="C8" s="68" t="s">
        <v>157</v>
      </c>
      <c r="D8" s="63">
        <v>7999000</v>
      </c>
      <c r="E8" s="73">
        <v>7999000</v>
      </c>
    </row>
    <row r="9" spans="2:5" outlineLevel="1" x14ac:dyDescent="0.25">
      <c r="B9" s="68"/>
      <c r="C9" s="68" t="s">
        <v>158</v>
      </c>
      <c r="D9" s="63">
        <v>29997000</v>
      </c>
      <c r="E9" s="73">
        <v>29997000</v>
      </c>
    </row>
    <row r="10" spans="2:5" outlineLevel="1" x14ac:dyDescent="0.25">
      <c r="B10" s="68"/>
      <c r="C10" s="68" t="s">
        <v>159</v>
      </c>
      <c r="D10" s="63">
        <v>17997000</v>
      </c>
      <c r="E10" s="73">
        <v>17997000</v>
      </c>
    </row>
    <row r="11" spans="2:5" outlineLevel="1" x14ac:dyDescent="0.25">
      <c r="B11" s="68"/>
      <c r="C11" s="68" t="s">
        <v>160</v>
      </c>
      <c r="D11" s="63">
        <v>39996000</v>
      </c>
      <c r="E11" s="73">
        <v>39996000</v>
      </c>
    </row>
    <row r="12" spans="2:5" outlineLevel="1" x14ac:dyDescent="0.25">
      <c r="B12" s="68"/>
      <c r="C12" s="68" t="s">
        <v>161</v>
      </c>
      <c r="D12" s="63">
        <v>39990000</v>
      </c>
      <c r="E12" s="73">
        <v>39990000</v>
      </c>
    </row>
    <row r="13" spans="2:5" outlineLevel="1" x14ac:dyDescent="0.25">
      <c r="B13" s="68"/>
      <c r="C13" s="68" t="s">
        <v>162</v>
      </c>
      <c r="D13" s="63">
        <v>10800000</v>
      </c>
      <c r="E13" s="73">
        <v>10800000</v>
      </c>
    </row>
    <row r="14" spans="2:5" outlineLevel="1" x14ac:dyDescent="0.25">
      <c r="B14" s="68"/>
      <c r="C14" s="68" t="s">
        <v>163</v>
      </c>
      <c r="D14" s="63">
        <v>69993000</v>
      </c>
      <c r="E14" s="73">
        <v>69993000</v>
      </c>
    </row>
    <row r="15" spans="2:5" outlineLevel="1" x14ac:dyDescent="0.25">
      <c r="B15" s="68"/>
      <c r="C15" s="68" t="s">
        <v>164</v>
      </c>
      <c r="D15" s="63">
        <v>3398000</v>
      </c>
      <c r="E15" s="73">
        <v>3398000</v>
      </c>
    </row>
    <row r="16" spans="2:5" outlineLevel="1" x14ac:dyDescent="0.25">
      <c r="B16" s="68"/>
      <c r="C16" s="68" t="s">
        <v>165</v>
      </c>
      <c r="D16" s="63">
        <v>12899400</v>
      </c>
      <c r="E16" s="73">
        <v>12899400</v>
      </c>
    </row>
    <row r="17" spans="2:5" outlineLevel="1" x14ac:dyDescent="0.25">
      <c r="B17" s="68"/>
      <c r="C17" s="68" t="s">
        <v>166</v>
      </c>
      <c r="D17" s="63">
        <v>19996000</v>
      </c>
      <c r="E17" s="73">
        <v>19996000</v>
      </c>
    </row>
    <row r="18" spans="2:5" outlineLevel="1" x14ac:dyDescent="0.25">
      <c r="B18" s="68"/>
      <c r="C18" s="68" t="s">
        <v>167</v>
      </c>
      <c r="D18" s="63">
        <v>11097000</v>
      </c>
      <c r="E18" s="73">
        <v>11097000</v>
      </c>
    </row>
    <row r="19" spans="2:5" outlineLevel="1" x14ac:dyDescent="0.25">
      <c r="B19" s="68"/>
      <c r="C19" s="68" t="s">
        <v>168</v>
      </c>
      <c r="D19" s="63">
        <v>26392000</v>
      </c>
      <c r="E19" s="73">
        <v>26392000</v>
      </c>
    </row>
    <row r="20" spans="2:5" outlineLevel="1" x14ac:dyDescent="0.25">
      <c r="B20" s="68"/>
      <c r="C20" s="68" t="s">
        <v>169</v>
      </c>
      <c r="D20" s="63">
        <v>18891000</v>
      </c>
      <c r="E20" s="73">
        <v>18891000</v>
      </c>
    </row>
    <row r="21" spans="2:5" outlineLevel="1" x14ac:dyDescent="0.25">
      <c r="B21" s="68"/>
      <c r="C21" s="68" t="s">
        <v>170</v>
      </c>
      <c r="D21" s="63">
        <v>31495000</v>
      </c>
      <c r="E21" s="73">
        <v>31495000</v>
      </c>
    </row>
    <row r="22" spans="2:5" x14ac:dyDescent="0.25">
      <c r="B22" s="69" t="s">
        <v>192</v>
      </c>
      <c r="C22" s="69"/>
      <c r="D22" s="67"/>
      <c r="E22" s="67"/>
    </row>
    <row r="23" spans="2:5" outlineLevel="1" x14ac:dyDescent="0.25">
      <c r="B23" s="68"/>
      <c r="C23" s="68" t="s">
        <v>171</v>
      </c>
      <c r="D23" s="62" t="s">
        <v>90</v>
      </c>
      <c r="E23" s="62" t="s">
        <v>90</v>
      </c>
    </row>
    <row r="24" spans="2:5" outlineLevel="1" x14ac:dyDescent="0.25">
      <c r="B24" s="68"/>
      <c r="C24" s="68" t="s">
        <v>172</v>
      </c>
      <c r="D24" s="62" t="s">
        <v>90</v>
      </c>
      <c r="E24" s="62" t="s">
        <v>90</v>
      </c>
    </row>
    <row r="25" spans="2:5" outlineLevel="1" x14ac:dyDescent="0.25">
      <c r="B25" s="68"/>
      <c r="C25" s="68" t="s">
        <v>173</v>
      </c>
      <c r="D25" s="62" t="s">
        <v>93</v>
      </c>
      <c r="E25" s="62" t="s">
        <v>93</v>
      </c>
    </row>
    <row r="26" spans="2:5" outlineLevel="1" x14ac:dyDescent="0.25">
      <c r="B26" s="68"/>
      <c r="C26" s="68" t="s">
        <v>174</v>
      </c>
      <c r="D26" s="62" t="s">
        <v>91</v>
      </c>
      <c r="E26" s="62" t="s">
        <v>91</v>
      </c>
    </row>
    <row r="27" spans="2:5" outlineLevel="1" x14ac:dyDescent="0.25">
      <c r="B27" s="68"/>
      <c r="C27" s="68" t="s">
        <v>175</v>
      </c>
      <c r="D27" s="62" t="s">
        <v>94</v>
      </c>
      <c r="E27" s="62" t="s">
        <v>94</v>
      </c>
    </row>
    <row r="28" spans="2:5" outlineLevel="1" x14ac:dyDescent="0.25">
      <c r="B28" s="68"/>
      <c r="C28" s="68" t="s">
        <v>176</v>
      </c>
      <c r="D28" s="62" t="s">
        <v>93</v>
      </c>
      <c r="E28" s="62" t="s">
        <v>93</v>
      </c>
    </row>
    <row r="29" spans="2:5" outlineLevel="1" x14ac:dyDescent="0.25">
      <c r="B29" s="68"/>
      <c r="C29" s="68" t="s">
        <v>177</v>
      </c>
      <c r="D29" s="62" t="s">
        <v>95</v>
      </c>
      <c r="E29" s="62" t="s">
        <v>95</v>
      </c>
    </row>
    <row r="30" spans="2:5" outlineLevel="1" x14ac:dyDescent="0.25">
      <c r="B30" s="68"/>
      <c r="C30" s="68" t="s">
        <v>178</v>
      </c>
      <c r="D30" s="62" t="s">
        <v>92</v>
      </c>
      <c r="E30" s="62" t="s">
        <v>92</v>
      </c>
    </row>
    <row r="31" spans="2:5" outlineLevel="1" x14ac:dyDescent="0.25">
      <c r="B31" s="68"/>
      <c r="C31" s="68" t="s">
        <v>179</v>
      </c>
      <c r="D31" s="62" t="s">
        <v>91</v>
      </c>
      <c r="E31" s="62" t="s">
        <v>91</v>
      </c>
    </row>
    <row r="32" spans="2:5" outlineLevel="1" x14ac:dyDescent="0.25">
      <c r="B32" s="68"/>
      <c r="C32" s="68" t="s">
        <v>180</v>
      </c>
      <c r="D32" s="62" t="s">
        <v>92</v>
      </c>
      <c r="E32" s="62" t="s">
        <v>92</v>
      </c>
    </row>
    <row r="33" spans="2:5" outlineLevel="1" x14ac:dyDescent="0.25">
      <c r="B33" s="68"/>
      <c r="C33" s="68" t="s">
        <v>181</v>
      </c>
      <c r="D33" s="62" t="s">
        <v>90</v>
      </c>
      <c r="E33" s="62" t="s">
        <v>90</v>
      </c>
    </row>
    <row r="34" spans="2:5" outlineLevel="1" x14ac:dyDescent="0.25">
      <c r="B34" s="68"/>
      <c r="C34" s="68" t="s">
        <v>182</v>
      </c>
      <c r="D34" s="62" t="s">
        <v>96</v>
      </c>
      <c r="E34" s="62" t="s">
        <v>96</v>
      </c>
    </row>
    <row r="35" spans="2:5" outlineLevel="1" x14ac:dyDescent="0.25">
      <c r="B35" s="68"/>
      <c r="C35" s="68" t="s">
        <v>183</v>
      </c>
      <c r="D35" s="62" t="s">
        <v>90</v>
      </c>
      <c r="E35" s="62" t="s">
        <v>90</v>
      </c>
    </row>
    <row r="36" spans="2:5" outlineLevel="1" x14ac:dyDescent="0.25">
      <c r="B36" s="68"/>
      <c r="C36" s="68" t="s">
        <v>184</v>
      </c>
      <c r="D36" s="62" t="s">
        <v>97</v>
      </c>
      <c r="E36" s="62" t="s">
        <v>97</v>
      </c>
    </row>
    <row r="37" spans="2:5" outlineLevel="1" x14ac:dyDescent="0.25">
      <c r="B37" s="68"/>
      <c r="C37" s="68" t="s">
        <v>185</v>
      </c>
      <c r="D37" s="62" t="s">
        <v>90</v>
      </c>
      <c r="E37" s="62" t="s">
        <v>90</v>
      </c>
    </row>
    <row r="38" spans="2:5" ht="15.75" outlineLevel="1" thickBot="1" x14ac:dyDescent="0.3">
      <c r="B38" s="70"/>
      <c r="C38" s="70" t="s">
        <v>186</v>
      </c>
      <c r="D38" s="64" t="s">
        <v>93</v>
      </c>
      <c r="E38" s="64" t="s">
        <v>93</v>
      </c>
    </row>
    <row r="39" spans="2:5" x14ac:dyDescent="0.25">
      <c r="B39" t="s">
        <v>193</v>
      </c>
    </row>
    <row r="40" spans="2:5" x14ac:dyDescent="0.25">
      <c r="B40" t="s">
        <v>194</v>
      </c>
    </row>
    <row r="41" spans="2:5" x14ac:dyDescent="0.25">
      <c r="B41" t="s">
        <v>195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B9C8-8DC7-4664-A8C9-DFDAA0B03AB2}">
  <dimension ref="A1:L69"/>
  <sheetViews>
    <sheetView topLeftCell="A24" workbookViewId="0">
      <selection activeCell="H41" sqref="H41"/>
    </sheetView>
  </sheetViews>
  <sheetFormatPr defaultRowHeight="15" x14ac:dyDescent="0.25"/>
  <cols>
    <col min="1" max="1" width="27" customWidth="1"/>
    <col min="2" max="2" width="15.42578125" customWidth="1"/>
    <col min="3" max="3" width="23.5703125" customWidth="1"/>
    <col min="4" max="4" width="14.7109375" customWidth="1"/>
    <col min="5" max="5" width="17.42578125" customWidth="1"/>
    <col min="6" max="6" width="19.5703125" customWidth="1"/>
    <col min="7" max="7" width="20.85546875" customWidth="1"/>
    <col min="8" max="8" width="21.28515625" customWidth="1"/>
    <col min="9" max="9" width="19.140625" customWidth="1"/>
    <col min="10" max="10" width="17.28515625" customWidth="1"/>
  </cols>
  <sheetData>
    <row r="1" spans="1:12" ht="23.25" x14ac:dyDescent="0.35">
      <c r="A1" s="89" t="s">
        <v>106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x14ac:dyDescent="0.25">
      <c r="A2" s="11" t="s">
        <v>1</v>
      </c>
      <c r="B2" s="27" t="s">
        <v>2</v>
      </c>
      <c r="C2" s="27" t="s">
        <v>40</v>
      </c>
      <c r="D2" s="27" t="s">
        <v>41</v>
      </c>
      <c r="E2" s="27" t="s">
        <v>42</v>
      </c>
      <c r="F2" s="27" t="s">
        <v>43</v>
      </c>
      <c r="G2" s="27" t="s">
        <v>44</v>
      </c>
      <c r="H2" s="27" t="s">
        <v>45</v>
      </c>
      <c r="I2" s="27" t="s">
        <v>46</v>
      </c>
      <c r="J2" s="12" t="s">
        <v>47</v>
      </c>
    </row>
    <row r="3" spans="1:12" x14ac:dyDescent="0.25">
      <c r="A3" s="36" t="s">
        <v>3</v>
      </c>
      <c r="B3" s="33">
        <f>VLOOKUP(Table8[[#This Row],[Type]],List!$A$4:$B$45,2,0)</f>
        <v>7999000</v>
      </c>
      <c r="C3" s="3">
        <v>12</v>
      </c>
      <c r="D3" s="28">
        <v>0.4</v>
      </c>
      <c r="E3" s="28">
        <v>0.1</v>
      </c>
      <c r="F3" s="31">
        <f t="shared" ref="F3:F8" si="0">B3*E3</f>
        <v>799900</v>
      </c>
      <c r="G3" s="33">
        <f>B3-F3</f>
        <v>7199100</v>
      </c>
      <c r="H3" s="31">
        <f t="shared" ref="H3:H33" si="1">PMT(D3/12,C3,-G3)</f>
        <v>737702.45226973225</v>
      </c>
      <c r="I3" s="31">
        <f t="shared" ref="I3:I33" si="2">H3*C3</f>
        <v>8852429.427236788</v>
      </c>
      <c r="J3" s="14">
        <f t="shared" ref="J3:J25" si="3">I3-B3</f>
        <v>853429.42723678797</v>
      </c>
    </row>
    <row r="4" spans="1:12" x14ac:dyDescent="0.25">
      <c r="A4" s="36" t="s">
        <v>4</v>
      </c>
      <c r="B4" s="33">
        <f>VLOOKUP(Table8[[#This Row],[Type]],List!$A$4:$B$45,2,0)</f>
        <v>7999000</v>
      </c>
      <c r="C4" s="3">
        <v>12</v>
      </c>
      <c r="D4" s="28">
        <v>0.4</v>
      </c>
      <c r="E4" s="28">
        <v>0.1</v>
      </c>
      <c r="F4" s="31">
        <f t="shared" si="0"/>
        <v>799900</v>
      </c>
      <c r="G4" s="33">
        <f t="shared" ref="G4:G5" si="4">B4-F4</f>
        <v>7199100</v>
      </c>
      <c r="H4" s="31">
        <f t="shared" si="1"/>
        <v>737702.45226973225</v>
      </c>
      <c r="I4" s="31">
        <f>H4*C4</f>
        <v>8852429.427236788</v>
      </c>
      <c r="J4" s="14">
        <f t="shared" si="3"/>
        <v>853429.42723678797</v>
      </c>
    </row>
    <row r="5" spans="1:12" x14ac:dyDescent="0.25">
      <c r="A5" s="36" t="s">
        <v>5</v>
      </c>
      <c r="B5" s="33">
        <f>VLOOKUP(Table8[[#This Row],[Type]],List!$A$4:$B$45,2,0)</f>
        <v>4999000</v>
      </c>
      <c r="C5" s="3">
        <v>12</v>
      </c>
      <c r="D5" s="28">
        <v>0.4</v>
      </c>
      <c r="E5" s="28">
        <v>0.1</v>
      </c>
      <c r="F5" s="31">
        <f t="shared" si="0"/>
        <v>499900</v>
      </c>
      <c r="G5" s="33">
        <f t="shared" si="4"/>
        <v>4499100</v>
      </c>
      <c r="H5" s="31">
        <f t="shared" si="1"/>
        <v>461029.4485431168</v>
      </c>
      <c r="I5" s="31">
        <f>H5*C5</f>
        <v>5532353.3825174011</v>
      </c>
      <c r="J5" s="14">
        <f t="shared" si="3"/>
        <v>533353.38251740113</v>
      </c>
    </row>
    <row r="6" spans="1:12" x14ac:dyDescent="0.25">
      <c r="A6" s="36" t="s">
        <v>6</v>
      </c>
      <c r="B6" s="33">
        <f>VLOOKUP(Table8[[#This Row],[Type]],List!$A$4:$B$45,2,0)</f>
        <v>6299000</v>
      </c>
      <c r="C6" s="3">
        <v>12</v>
      </c>
      <c r="D6" s="28">
        <v>0.4</v>
      </c>
      <c r="E6" s="28">
        <v>0.1</v>
      </c>
      <c r="F6" s="31">
        <f t="shared" si="0"/>
        <v>629900</v>
      </c>
      <c r="G6" s="33">
        <f>B6-F6</f>
        <v>5669100</v>
      </c>
      <c r="H6" s="31">
        <f t="shared" si="1"/>
        <v>580921.08349131676</v>
      </c>
      <c r="I6" s="31">
        <f t="shared" si="2"/>
        <v>6971053.0018958012</v>
      </c>
      <c r="J6" s="14">
        <f t="shared" si="3"/>
        <v>672053.00189580116</v>
      </c>
    </row>
    <row r="7" spans="1:12" x14ac:dyDescent="0.25">
      <c r="A7" s="36" t="s">
        <v>7</v>
      </c>
      <c r="B7" s="33">
        <f>VLOOKUP(Table8[[#This Row],[Type]],List!$A$4:$B$45,2,0)</f>
        <v>8999000</v>
      </c>
      <c r="C7" s="3">
        <v>12</v>
      </c>
      <c r="D7" s="28">
        <v>0.4</v>
      </c>
      <c r="E7" s="28">
        <v>0.1</v>
      </c>
      <c r="F7" s="31">
        <f t="shared" si="0"/>
        <v>899900</v>
      </c>
      <c r="G7" s="33">
        <f>B7-F7</f>
        <v>8099100</v>
      </c>
      <c r="H7" s="31">
        <f t="shared" si="1"/>
        <v>829926.78684527066</v>
      </c>
      <c r="I7" s="31">
        <f>H7*C7</f>
        <v>9959121.4421432484</v>
      </c>
      <c r="J7" s="14">
        <f t="shared" si="3"/>
        <v>960121.44214324839</v>
      </c>
    </row>
    <row r="8" spans="1:12" x14ac:dyDescent="0.25">
      <c r="A8" s="36" t="s">
        <v>8</v>
      </c>
      <c r="B8" s="33">
        <f>VLOOKUP(Table8[[#This Row],[Type]],List!$A$4:$B$45,2,0)</f>
        <v>9999000</v>
      </c>
      <c r="C8" s="3">
        <v>12</v>
      </c>
      <c r="D8" s="28">
        <v>0.4</v>
      </c>
      <c r="E8" s="28">
        <v>0.1</v>
      </c>
      <c r="F8" s="31">
        <f t="shared" si="0"/>
        <v>999900</v>
      </c>
      <c r="G8" s="33">
        <f>B8-F8</f>
        <v>8999100</v>
      </c>
      <c r="H8" s="31">
        <f t="shared" si="1"/>
        <v>922151.12142080907</v>
      </c>
      <c r="I8" s="31">
        <f t="shared" si="2"/>
        <v>11065813.457049709</v>
      </c>
      <c r="J8" s="14">
        <f t="shared" si="3"/>
        <v>1066813.4570497088</v>
      </c>
    </row>
    <row r="9" spans="1:12" x14ac:dyDescent="0.25">
      <c r="A9" s="36" t="s">
        <v>10</v>
      </c>
      <c r="B9" s="33">
        <f>VLOOKUP(Table8[[#This Row],[Type]],List!$A$4:$B$45,2,0)</f>
        <v>1599000</v>
      </c>
      <c r="C9" s="3">
        <v>12</v>
      </c>
      <c r="D9" s="28">
        <v>0.4</v>
      </c>
      <c r="E9" s="28">
        <v>0.1</v>
      </c>
      <c r="F9" s="31">
        <f t="shared" ref="F9:F18" si="5">B9*E9</f>
        <v>159900</v>
      </c>
      <c r="G9" s="33">
        <f t="shared" ref="G9:G18" si="6">B9-F9</f>
        <v>1439100</v>
      </c>
      <c r="H9" s="31">
        <f t="shared" si="1"/>
        <v>147466.71098628602</v>
      </c>
      <c r="I9" s="31">
        <f t="shared" si="2"/>
        <v>1769600.5318354322</v>
      </c>
      <c r="J9" s="14">
        <f t="shared" si="3"/>
        <v>170600.53183543216</v>
      </c>
    </row>
    <row r="10" spans="1:12" x14ac:dyDescent="0.25">
      <c r="A10" s="36" t="s">
        <v>11</v>
      </c>
      <c r="B10" s="33">
        <f>VLOOKUP(Table8[[#This Row],[Type]],List!$A$4:$B$45,2,0)</f>
        <v>1540000</v>
      </c>
      <c r="C10" s="3">
        <v>12</v>
      </c>
      <c r="D10" s="28">
        <v>0.4</v>
      </c>
      <c r="E10" s="28">
        <v>0.1</v>
      </c>
      <c r="F10" s="31">
        <f t="shared" si="5"/>
        <v>154000</v>
      </c>
      <c r="G10" s="33">
        <f t="shared" si="6"/>
        <v>1386000</v>
      </c>
      <c r="H10" s="31">
        <f t="shared" si="1"/>
        <v>142025.47524632924</v>
      </c>
      <c r="I10" s="31">
        <f t="shared" si="2"/>
        <v>1704305.702955951</v>
      </c>
      <c r="J10" s="14">
        <f t="shared" si="3"/>
        <v>164305.70295595098</v>
      </c>
    </row>
    <row r="11" spans="1:12" x14ac:dyDescent="0.25">
      <c r="A11" s="36" t="s">
        <v>12</v>
      </c>
      <c r="B11" s="33">
        <f>VLOOKUP(Table8[[#This Row],[Type]],List!$A$4:$B$45,2,0)</f>
        <v>2149900</v>
      </c>
      <c r="C11" s="3">
        <v>12</v>
      </c>
      <c r="D11" s="28">
        <v>0.4</v>
      </c>
      <c r="E11" s="28">
        <v>0.1</v>
      </c>
      <c r="F11" s="31">
        <f t="shared" si="5"/>
        <v>214990</v>
      </c>
      <c r="G11" s="33">
        <f t="shared" si="6"/>
        <v>1934910</v>
      </c>
      <c r="H11" s="31">
        <f t="shared" si="1"/>
        <v>198273.09690395015</v>
      </c>
      <c r="I11" s="31">
        <f t="shared" si="2"/>
        <v>2379277.1628474016</v>
      </c>
      <c r="J11" s="14">
        <f t="shared" si="3"/>
        <v>229377.16284740157</v>
      </c>
    </row>
    <row r="12" spans="1:12" x14ac:dyDescent="0.25">
      <c r="A12" s="36" t="s">
        <v>13</v>
      </c>
      <c r="B12" s="33">
        <f>VLOOKUP(Table8[[#This Row],[Type]],List!$A$4:$B$45,2,0)</f>
        <v>1850000</v>
      </c>
      <c r="C12" s="3">
        <v>12</v>
      </c>
      <c r="D12" s="28">
        <v>0.4</v>
      </c>
      <c r="E12" s="28">
        <v>0.1</v>
      </c>
      <c r="F12" s="31">
        <f t="shared" si="5"/>
        <v>185000</v>
      </c>
      <c r="G12" s="33">
        <f t="shared" si="6"/>
        <v>1665000</v>
      </c>
      <c r="H12" s="31">
        <f t="shared" si="1"/>
        <v>170615.01896474615</v>
      </c>
      <c r="I12" s="31">
        <f t="shared" si="2"/>
        <v>2047380.2275769538</v>
      </c>
      <c r="J12" s="14">
        <f t="shared" si="3"/>
        <v>197380.22757695382</v>
      </c>
    </row>
    <row r="13" spans="1:12" x14ac:dyDescent="0.25">
      <c r="A13" s="36" t="s">
        <v>14</v>
      </c>
      <c r="B13" s="33">
        <f>VLOOKUP(Table8[[#This Row],[Type]],List!$A$4:$B$45,2,0)</f>
        <v>1699000</v>
      </c>
      <c r="C13" s="3">
        <v>12</v>
      </c>
      <c r="D13" s="28">
        <v>0.4</v>
      </c>
      <c r="E13" s="28">
        <v>0.1</v>
      </c>
      <c r="F13" s="31">
        <f t="shared" si="5"/>
        <v>169900</v>
      </c>
      <c r="G13" s="33">
        <f t="shared" si="6"/>
        <v>1529100</v>
      </c>
      <c r="H13" s="31">
        <f t="shared" si="1"/>
        <v>156689.14444383985</v>
      </c>
      <c r="I13" s="31">
        <f t="shared" si="2"/>
        <v>1880269.7333260782</v>
      </c>
      <c r="J13" s="14">
        <f t="shared" si="3"/>
        <v>181269.73332607816</v>
      </c>
    </row>
    <row r="14" spans="1:12" x14ac:dyDescent="0.25">
      <c r="A14" s="36" t="s">
        <v>15</v>
      </c>
      <c r="B14" s="33">
        <f>VLOOKUP(Table8[[#This Row],[Type]],List!$A$4:$B$45,2,0)</f>
        <v>2250000</v>
      </c>
      <c r="C14" s="3">
        <v>12</v>
      </c>
      <c r="D14" s="28">
        <v>0.4</v>
      </c>
      <c r="E14" s="28">
        <v>0.1</v>
      </c>
      <c r="F14" s="31">
        <f t="shared" si="5"/>
        <v>225000</v>
      </c>
      <c r="G14" s="33">
        <f t="shared" si="6"/>
        <v>2025000</v>
      </c>
      <c r="H14" s="31">
        <f t="shared" si="1"/>
        <v>207504.75279496156</v>
      </c>
      <c r="I14" s="31">
        <f t="shared" si="2"/>
        <v>2490057.0335395387</v>
      </c>
      <c r="J14" s="14">
        <f t="shared" si="3"/>
        <v>240057.03353953874</v>
      </c>
    </row>
    <row r="15" spans="1:12" x14ac:dyDescent="0.25">
      <c r="A15" s="36" t="s">
        <v>16</v>
      </c>
      <c r="B15" s="33">
        <f>VLOOKUP(Table8[[#This Row],[Type]],List!$A$4:$B$45,2,0)</f>
        <v>1599000</v>
      </c>
      <c r="C15" s="3">
        <v>12</v>
      </c>
      <c r="D15" s="28">
        <v>0.4</v>
      </c>
      <c r="E15" s="28">
        <v>0.1</v>
      </c>
      <c r="F15" s="31">
        <f t="shared" si="5"/>
        <v>159900</v>
      </c>
      <c r="G15" s="33">
        <f t="shared" si="6"/>
        <v>1439100</v>
      </c>
      <c r="H15" s="31">
        <f t="shared" si="1"/>
        <v>147466.71098628602</v>
      </c>
      <c r="I15" s="31">
        <f t="shared" si="2"/>
        <v>1769600.5318354322</v>
      </c>
      <c r="J15" s="14">
        <f t="shared" si="3"/>
        <v>170600.53183543216</v>
      </c>
    </row>
    <row r="16" spans="1:12" x14ac:dyDescent="0.25">
      <c r="A16" s="36" t="s">
        <v>17</v>
      </c>
      <c r="B16" s="33">
        <f>VLOOKUP(Table8[[#This Row],[Type]],List!$A$4:$B$45,2,0)</f>
        <v>1799000</v>
      </c>
      <c r="C16" s="3">
        <v>12</v>
      </c>
      <c r="D16" s="28">
        <v>0.4</v>
      </c>
      <c r="E16" s="28">
        <v>0.1</v>
      </c>
      <c r="F16" s="31">
        <f t="shared" si="5"/>
        <v>179900</v>
      </c>
      <c r="G16" s="33">
        <f t="shared" si="6"/>
        <v>1619100</v>
      </c>
      <c r="H16" s="31">
        <f t="shared" si="1"/>
        <v>165911.5779013937</v>
      </c>
      <c r="I16" s="31">
        <f t="shared" si="2"/>
        <v>1990938.9348167244</v>
      </c>
      <c r="J16" s="14">
        <f t="shared" si="3"/>
        <v>191938.93481672439</v>
      </c>
    </row>
    <row r="17" spans="1:10" x14ac:dyDescent="0.25">
      <c r="A17" s="36" t="s">
        <v>18</v>
      </c>
      <c r="B17" s="33">
        <f>VLOOKUP(Table8[[#This Row],[Type]],List!$A$4:$B$45,2,0)</f>
        <v>2099000</v>
      </c>
      <c r="C17" s="3">
        <v>12</v>
      </c>
      <c r="D17" s="28">
        <v>0.4</v>
      </c>
      <c r="E17" s="28">
        <v>0.1</v>
      </c>
      <c r="F17" s="31">
        <f t="shared" si="5"/>
        <v>209900</v>
      </c>
      <c r="G17" s="33">
        <f t="shared" si="6"/>
        <v>1889100</v>
      </c>
      <c r="H17" s="31">
        <f t="shared" si="1"/>
        <v>193578.87827405526</v>
      </c>
      <c r="I17" s="31">
        <f t="shared" si="2"/>
        <v>2322946.5392886633</v>
      </c>
      <c r="J17" s="14">
        <f t="shared" si="3"/>
        <v>223946.53928866331</v>
      </c>
    </row>
    <row r="18" spans="1:10" x14ac:dyDescent="0.25">
      <c r="A18" s="36" t="s">
        <v>19</v>
      </c>
      <c r="B18" s="33">
        <f>VLOOKUP(Table8[[#This Row],[Type]],List!$A$4:$B$45,2,0)</f>
        <v>3699000</v>
      </c>
      <c r="C18" s="3">
        <v>12</v>
      </c>
      <c r="D18" s="28">
        <v>0.4</v>
      </c>
      <c r="E18" s="28">
        <v>0.1</v>
      </c>
      <c r="F18" s="31">
        <f t="shared" si="5"/>
        <v>369900</v>
      </c>
      <c r="G18" s="33">
        <f t="shared" si="6"/>
        <v>3329100</v>
      </c>
      <c r="H18" s="31">
        <f t="shared" si="1"/>
        <v>341137.81359491678</v>
      </c>
      <c r="I18" s="31">
        <f t="shared" si="2"/>
        <v>4093653.7631390011</v>
      </c>
      <c r="J18" s="14">
        <f t="shared" si="3"/>
        <v>394653.76313900109</v>
      </c>
    </row>
    <row r="19" spans="1:10" x14ac:dyDescent="0.25">
      <c r="A19" s="36" t="s">
        <v>21</v>
      </c>
      <c r="B19" s="33">
        <f>VLOOKUP(Table8[[#This Row],[Type]],List!$A$4:$B$45,2,0)</f>
        <v>3299000</v>
      </c>
      <c r="C19" s="3">
        <v>12</v>
      </c>
      <c r="D19" s="28">
        <v>0.4</v>
      </c>
      <c r="E19" s="28">
        <v>0.1</v>
      </c>
      <c r="F19" s="31">
        <f t="shared" ref="F19:F30" si="7">B19*E19</f>
        <v>329900</v>
      </c>
      <c r="G19" s="33">
        <f t="shared" ref="G19:G30" si="8">B19-F19</f>
        <v>2969100</v>
      </c>
      <c r="H19" s="31">
        <f t="shared" si="1"/>
        <v>304248.07976470143</v>
      </c>
      <c r="I19" s="31">
        <f t="shared" si="2"/>
        <v>3650976.9571764171</v>
      </c>
      <c r="J19" s="14">
        <f t="shared" si="3"/>
        <v>351976.95717641711</v>
      </c>
    </row>
    <row r="20" spans="1:10" x14ac:dyDescent="0.25">
      <c r="A20" s="36" t="s">
        <v>22</v>
      </c>
      <c r="B20" s="33">
        <f>VLOOKUP(Table8[[#This Row],[Type]],List!$A$4:$B$45,2,0)</f>
        <v>3699000</v>
      </c>
      <c r="C20" s="3">
        <v>12</v>
      </c>
      <c r="D20" s="28">
        <v>0.4</v>
      </c>
      <c r="E20" s="28">
        <v>0.1</v>
      </c>
      <c r="F20" s="31">
        <f t="shared" si="7"/>
        <v>369900</v>
      </c>
      <c r="G20" s="33">
        <f t="shared" si="8"/>
        <v>3329100</v>
      </c>
      <c r="H20" s="31">
        <f t="shared" si="1"/>
        <v>341137.81359491678</v>
      </c>
      <c r="I20" s="31">
        <f t="shared" si="2"/>
        <v>4093653.7631390011</v>
      </c>
      <c r="J20" s="14">
        <f t="shared" si="3"/>
        <v>394653.76313900109</v>
      </c>
    </row>
    <row r="21" spans="1:10" x14ac:dyDescent="0.25">
      <c r="A21" s="36" t="s">
        <v>23</v>
      </c>
      <c r="B21" s="33">
        <f>VLOOKUP(Table8[[#This Row],[Type]],List!$A$4:$B$45,2,0)</f>
        <v>1700000</v>
      </c>
      <c r="C21" s="3">
        <v>12</v>
      </c>
      <c r="D21" s="28">
        <v>0.4</v>
      </c>
      <c r="E21" s="28">
        <v>0.1</v>
      </c>
      <c r="F21" s="31">
        <f t="shared" si="7"/>
        <v>170000</v>
      </c>
      <c r="G21" s="33">
        <f t="shared" si="8"/>
        <v>1530000</v>
      </c>
      <c r="H21" s="31">
        <f t="shared" si="1"/>
        <v>156781.3687784154</v>
      </c>
      <c r="I21" s="31">
        <f t="shared" si="2"/>
        <v>1881376.4253409849</v>
      </c>
      <c r="J21" s="14">
        <f t="shared" si="3"/>
        <v>181376.42534098495</v>
      </c>
    </row>
    <row r="22" spans="1:10" x14ac:dyDescent="0.25">
      <c r="A22" s="36" t="s">
        <v>24</v>
      </c>
      <c r="B22" s="33">
        <f>VLOOKUP(Table8[[#This Row],[Type]],List!$A$4:$B$45,2,0)</f>
        <v>1750000</v>
      </c>
      <c r="C22" s="3">
        <v>12</v>
      </c>
      <c r="D22" s="28">
        <v>0.4</v>
      </c>
      <c r="E22" s="28">
        <v>0.1</v>
      </c>
      <c r="F22" s="31">
        <f t="shared" si="7"/>
        <v>175000</v>
      </c>
      <c r="G22" s="33">
        <f t="shared" si="8"/>
        <v>1575000</v>
      </c>
      <c r="H22" s="31">
        <f t="shared" si="1"/>
        <v>161392.5855071923</v>
      </c>
      <c r="I22" s="31">
        <f t="shared" si="2"/>
        <v>1936711.0260863076</v>
      </c>
      <c r="J22" s="14">
        <f t="shared" si="3"/>
        <v>186711.0260863076</v>
      </c>
    </row>
    <row r="23" spans="1:10" x14ac:dyDescent="0.25">
      <c r="A23" s="36" t="s">
        <v>25</v>
      </c>
      <c r="B23" s="33">
        <f>VLOOKUP(Table8[[#This Row],[Type]],List!$A$4:$B$45,2,0)</f>
        <v>1350000</v>
      </c>
      <c r="C23" s="3">
        <v>12</v>
      </c>
      <c r="D23" s="28">
        <v>0.4</v>
      </c>
      <c r="E23" s="28">
        <v>0.1</v>
      </c>
      <c r="F23" s="31">
        <f t="shared" si="7"/>
        <v>135000</v>
      </c>
      <c r="G23" s="33">
        <f t="shared" si="8"/>
        <v>1215000</v>
      </c>
      <c r="H23" s="31">
        <f t="shared" si="1"/>
        <v>124502.85167697693</v>
      </c>
      <c r="I23" s="31">
        <f t="shared" si="2"/>
        <v>1494034.2201237231</v>
      </c>
      <c r="J23" s="14">
        <f t="shared" si="3"/>
        <v>144034.22012372315</v>
      </c>
    </row>
    <row r="24" spans="1:10" x14ac:dyDescent="0.25">
      <c r="A24" s="36" t="s">
        <v>28</v>
      </c>
      <c r="B24" s="33">
        <f>VLOOKUP(Table8[[#This Row],[Type]],List!$A$4:$B$45,2,0)</f>
        <v>1999000</v>
      </c>
      <c r="C24" s="3">
        <v>12</v>
      </c>
      <c r="D24" s="28">
        <v>0.4</v>
      </c>
      <c r="E24" s="28">
        <v>0.1</v>
      </c>
      <c r="F24" s="31">
        <f t="shared" si="7"/>
        <v>199900</v>
      </c>
      <c r="G24" s="33">
        <f t="shared" si="8"/>
        <v>1799100</v>
      </c>
      <c r="H24" s="31">
        <f t="shared" si="1"/>
        <v>184356.4448165014</v>
      </c>
      <c r="I24" s="31">
        <f t="shared" si="2"/>
        <v>2212277.3377980171</v>
      </c>
      <c r="J24" s="14">
        <f t="shared" si="3"/>
        <v>213277.33779801708</v>
      </c>
    </row>
    <row r="25" spans="1:10" x14ac:dyDescent="0.25">
      <c r="A25" s="36" t="s">
        <v>26</v>
      </c>
      <c r="B25" s="33">
        <f>VLOOKUP(Table8[[#This Row],[Type]],List!$A$4:$B$45,2,0)</f>
        <v>1699000</v>
      </c>
      <c r="C25" s="3">
        <v>12</v>
      </c>
      <c r="D25" s="28">
        <v>0.4</v>
      </c>
      <c r="E25" s="28">
        <v>0.1</v>
      </c>
      <c r="F25" s="31">
        <f t="shared" si="7"/>
        <v>169900</v>
      </c>
      <c r="G25" s="33">
        <f t="shared" si="8"/>
        <v>1529100</v>
      </c>
      <c r="H25" s="31">
        <f t="shared" si="1"/>
        <v>156689.14444383985</v>
      </c>
      <c r="I25" s="31">
        <f t="shared" si="2"/>
        <v>1880269.7333260782</v>
      </c>
      <c r="J25" s="14">
        <f t="shared" si="3"/>
        <v>181269.73332607816</v>
      </c>
    </row>
    <row r="26" spans="1:10" x14ac:dyDescent="0.25">
      <c r="A26" s="36" t="s">
        <v>27</v>
      </c>
      <c r="B26" s="33">
        <f>VLOOKUP(Table8[[#This Row],[Type]],List!$A$4:$B$45,2,0)</f>
        <v>2350000</v>
      </c>
      <c r="C26" s="3">
        <v>12</v>
      </c>
      <c r="D26" s="28">
        <v>0.4</v>
      </c>
      <c r="E26" s="28">
        <v>0.1</v>
      </c>
      <c r="F26" s="31">
        <f t="shared" si="7"/>
        <v>235000</v>
      </c>
      <c r="G26" s="33">
        <f t="shared" si="8"/>
        <v>2115000</v>
      </c>
      <c r="H26" s="31">
        <f t="shared" si="1"/>
        <v>216727.18625251538</v>
      </c>
      <c r="I26" s="31">
        <f t="shared" si="2"/>
        <v>2600726.2350301845</v>
      </c>
      <c r="J26" s="14">
        <f t="shared" ref="J26:J30" si="9">I26-B26</f>
        <v>250726.2350301845</v>
      </c>
    </row>
    <row r="27" spans="1:10" x14ac:dyDescent="0.25">
      <c r="A27" s="36" t="s">
        <v>29</v>
      </c>
      <c r="B27" s="33">
        <f>VLOOKUP(Table8[[#This Row],[Type]],List!$A$4:$B$45,2,0)</f>
        <v>3299000</v>
      </c>
      <c r="C27" s="3">
        <v>12</v>
      </c>
      <c r="D27" s="28">
        <v>0.4</v>
      </c>
      <c r="E27" s="28">
        <v>0.1</v>
      </c>
      <c r="F27" s="31">
        <f t="shared" si="7"/>
        <v>329900</v>
      </c>
      <c r="G27" s="33">
        <f t="shared" si="8"/>
        <v>2969100</v>
      </c>
      <c r="H27" s="31">
        <f t="shared" si="1"/>
        <v>304248.07976470143</v>
      </c>
      <c r="I27" s="31">
        <f t="shared" si="2"/>
        <v>3650976.9571764171</v>
      </c>
      <c r="J27" s="14">
        <f t="shared" si="9"/>
        <v>351976.95717641711</v>
      </c>
    </row>
    <row r="28" spans="1:10" x14ac:dyDescent="0.25">
      <c r="A28" s="36" t="s">
        <v>30</v>
      </c>
      <c r="B28" s="33">
        <f>VLOOKUP(Table8[[#This Row],[Type]],List!$A$4:$B$45,2,0)</f>
        <v>2249000</v>
      </c>
      <c r="C28" s="3">
        <v>12</v>
      </c>
      <c r="D28" s="28">
        <v>0.4</v>
      </c>
      <c r="E28" s="28">
        <v>0.1</v>
      </c>
      <c r="F28" s="31">
        <f t="shared" si="7"/>
        <v>224900</v>
      </c>
      <c r="G28" s="33">
        <f t="shared" si="8"/>
        <v>2024100</v>
      </c>
      <c r="H28" s="31">
        <f t="shared" si="1"/>
        <v>207412.52846038603</v>
      </c>
      <c r="I28" s="31">
        <f t="shared" si="2"/>
        <v>2488950.3415246326</v>
      </c>
      <c r="J28" s="14">
        <f t="shared" si="9"/>
        <v>239950.34152463265</v>
      </c>
    </row>
    <row r="29" spans="1:10" x14ac:dyDescent="0.25">
      <c r="A29" s="36" t="s">
        <v>31</v>
      </c>
      <c r="B29" s="33">
        <f>VLOOKUP(Table8[[#This Row],[Type]],List!$A$4:$B$45,2,0)</f>
        <v>2699000</v>
      </c>
      <c r="C29" s="3">
        <v>12</v>
      </c>
      <c r="D29" s="28">
        <v>0.4</v>
      </c>
      <c r="E29" s="28">
        <v>0.1</v>
      </c>
      <c r="F29" s="31">
        <f t="shared" si="7"/>
        <v>269900</v>
      </c>
      <c r="G29" s="33">
        <f t="shared" si="8"/>
        <v>2429100</v>
      </c>
      <c r="H29" s="31">
        <f t="shared" si="1"/>
        <v>248913.47901937834</v>
      </c>
      <c r="I29" s="31">
        <f t="shared" si="2"/>
        <v>2986961.7482325402</v>
      </c>
      <c r="J29" s="14">
        <f t="shared" si="9"/>
        <v>287961.74823254021</v>
      </c>
    </row>
    <row r="30" spans="1:10" x14ac:dyDescent="0.25">
      <c r="A30" s="36" t="s">
        <v>32</v>
      </c>
      <c r="B30" s="33">
        <f>VLOOKUP(Table8[[#This Row],[Type]],List!$A$4:$B$45,2,0)</f>
        <v>3299000</v>
      </c>
      <c r="C30" s="3">
        <v>12</v>
      </c>
      <c r="D30" s="28">
        <v>0.4</v>
      </c>
      <c r="E30" s="28">
        <v>0.1</v>
      </c>
      <c r="F30" s="31">
        <f t="shared" si="7"/>
        <v>329900</v>
      </c>
      <c r="G30" s="33">
        <f t="shared" si="8"/>
        <v>2969100</v>
      </c>
      <c r="H30" s="31">
        <f t="shared" si="1"/>
        <v>304248.07976470143</v>
      </c>
      <c r="I30" s="31">
        <f t="shared" si="2"/>
        <v>3650976.9571764171</v>
      </c>
      <c r="J30" s="14">
        <f t="shared" si="9"/>
        <v>351976.95717641711</v>
      </c>
    </row>
    <row r="31" spans="1:10" x14ac:dyDescent="0.25">
      <c r="A31" s="36" t="s">
        <v>34</v>
      </c>
      <c r="B31" s="33">
        <f>VLOOKUP(Table8[[#This Row],[Type]],List!$A$4:$B$45,2,0)</f>
        <v>9999000</v>
      </c>
      <c r="C31" s="3">
        <v>12</v>
      </c>
      <c r="D31" s="28">
        <v>0.4</v>
      </c>
      <c r="E31" s="28">
        <v>0.1</v>
      </c>
      <c r="F31" s="31">
        <f>B31*E31</f>
        <v>999900</v>
      </c>
      <c r="G31" s="33">
        <f>B31-F31</f>
        <v>8999100</v>
      </c>
      <c r="H31" s="31">
        <f t="shared" si="1"/>
        <v>922151.12142080907</v>
      </c>
      <c r="I31" s="31">
        <f t="shared" si="2"/>
        <v>11065813.457049709</v>
      </c>
      <c r="J31" s="14">
        <f>I31-B31</f>
        <v>1066813.4570497088</v>
      </c>
    </row>
    <row r="32" spans="1:10" x14ac:dyDescent="0.25">
      <c r="A32" s="36" t="s">
        <v>35</v>
      </c>
      <c r="B32" s="33">
        <f>VLOOKUP(Table8[[#This Row],[Type]],List!$A$4:$B$45,2,0)</f>
        <v>10299000</v>
      </c>
      <c r="C32" s="3">
        <v>12</v>
      </c>
      <c r="D32" s="28">
        <v>0.4</v>
      </c>
      <c r="E32" s="28">
        <v>0.1</v>
      </c>
      <c r="F32" s="31">
        <f>B32*E32</f>
        <v>1029900</v>
      </c>
      <c r="G32" s="33">
        <f>B32-F32</f>
        <v>9269100</v>
      </c>
      <c r="H32" s="31">
        <f t="shared" si="1"/>
        <v>949818.42179347062</v>
      </c>
      <c r="I32" s="31">
        <f t="shared" si="2"/>
        <v>11397821.061521647</v>
      </c>
      <c r="J32" s="14">
        <f>I32-B32</f>
        <v>1098821.0615216475</v>
      </c>
    </row>
    <row r="33" spans="1:10" x14ac:dyDescent="0.25">
      <c r="A33" s="36" t="s">
        <v>36</v>
      </c>
      <c r="B33" s="33">
        <f>VLOOKUP(Table8[[#This Row],[Type]],List!$A$4:$B$45,2,0)</f>
        <v>3999000</v>
      </c>
      <c r="C33" s="3">
        <v>12</v>
      </c>
      <c r="D33" s="28">
        <v>0.4</v>
      </c>
      <c r="E33" s="28">
        <v>0.1</v>
      </c>
      <c r="F33" s="31">
        <f>B33*E33</f>
        <v>399900</v>
      </c>
      <c r="G33" s="33">
        <f>B33-F33</f>
        <v>3599100</v>
      </c>
      <c r="H33" s="31">
        <f t="shared" si="1"/>
        <v>368805.11396757833</v>
      </c>
      <c r="I33" s="31">
        <f t="shared" si="2"/>
        <v>4425661.3676109398</v>
      </c>
      <c r="J33" s="14">
        <f>I33-B33</f>
        <v>426661.36761093978</v>
      </c>
    </row>
    <row r="34" spans="1:10" x14ac:dyDescent="0.25">
      <c r="A34" s="38" t="s">
        <v>37</v>
      </c>
      <c r="B34" s="33">
        <f>VLOOKUP(Table8[[#This Row],[Type]],List!$A$4:$B$45,2,0)</f>
        <v>5999000</v>
      </c>
      <c r="C34" s="30">
        <v>12</v>
      </c>
      <c r="D34" s="29">
        <v>0.4</v>
      </c>
      <c r="E34" s="28">
        <v>0.1</v>
      </c>
      <c r="F34" s="32">
        <f>B34*E34</f>
        <v>599900</v>
      </c>
      <c r="G34" s="34">
        <f>B34-F34</f>
        <v>5399100</v>
      </c>
      <c r="H34" s="32">
        <f>PMT(D34/12,C34,-G34)</f>
        <v>553253.78311865532</v>
      </c>
      <c r="I34" s="32">
        <f>H34*C34</f>
        <v>6639045.3974238634</v>
      </c>
      <c r="J34" s="35">
        <f>I34-B34</f>
        <v>640045.39742386341</v>
      </c>
    </row>
    <row r="37" spans="1:10" x14ac:dyDescent="0.25">
      <c r="A37" s="11" t="s">
        <v>1</v>
      </c>
      <c r="B37" s="27" t="s">
        <v>2</v>
      </c>
      <c r="C37" s="27" t="s">
        <v>40</v>
      </c>
      <c r="D37" s="27" t="s">
        <v>41</v>
      </c>
      <c r="E37" s="27" t="s">
        <v>42</v>
      </c>
      <c r="F37" s="27" t="s">
        <v>43</v>
      </c>
      <c r="G37" s="27" t="s">
        <v>44</v>
      </c>
      <c r="H37" s="27" t="s">
        <v>45</v>
      </c>
      <c r="I37" s="27" t="s">
        <v>46</v>
      </c>
      <c r="J37" s="12" t="s">
        <v>47</v>
      </c>
    </row>
    <row r="38" spans="1:10" x14ac:dyDescent="0.25">
      <c r="A38" s="47" t="s">
        <v>3</v>
      </c>
      <c r="B38" s="33">
        <f>VLOOKUP(Table6[[#This Row],[Type]],List!$A$4:$B$45,2,0)</f>
        <v>7999000</v>
      </c>
      <c r="C38" s="3">
        <v>9</v>
      </c>
      <c r="D38" s="28">
        <v>0.36</v>
      </c>
      <c r="E38" s="28">
        <v>0.1</v>
      </c>
      <c r="F38" s="31">
        <f>B38*E38</f>
        <v>799900</v>
      </c>
      <c r="G38" s="33">
        <f>B38-F38</f>
        <v>7199100</v>
      </c>
      <c r="H38" s="49">
        <f>PMT(D38/9,C38,-G38)</f>
        <v>968228.50373012293</v>
      </c>
      <c r="I38" s="33">
        <f>H38*C38</f>
        <v>8714056.5335711055</v>
      </c>
      <c r="J38" s="45">
        <f>I38-B38</f>
        <v>715056.53357110545</v>
      </c>
    </row>
    <row r="39" spans="1:10" x14ac:dyDescent="0.25">
      <c r="A39" s="47" t="s">
        <v>4</v>
      </c>
      <c r="B39" s="33">
        <f>VLOOKUP(Table6[[#This Row],[Type]],List!$A$4:$B$45,2,0)</f>
        <v>7999000</v>
      </c>
      <c r="C39" s="3">
        <v>9</v>
      </c>
      <c r="D39" s="28">
        <v>0.36</v>
      </c>
      <c r="E39" s="28">
        <v>0.1</v>
      </c>
      <c r="F39" s="31">
        <f t="shared" ref="F39:F69" si="10">B39*E39</f>
        <v>799900</v>
      </c>
      <c r="G39" s="33">
        <f t="shared" ref="G39:G69" si="11">B39-F39</f>
        <v>7199100</v>
      </c>
      <c r="H39" s="49">
        <f>PMT(D39/9,C39,-G39)</f>
        <v>968228.50373012293</v>
      </c>
      <c r="I39" s="33">
        <f t="shared" ref="I39:I69" si="12">H39*C39</f>
        <v>8714056.5335711055</v>
      </c>
      <c r="J39" s="45">
        <f t="shared" ref="J39:J69" si="13">I39-B39</f>
        <v>715056.53357110545</v>
      </c>
    </row>
    <row r="40" spans="1:10" x14ac:dyDescent="0.25">
      <c r="A40" s="47" t="s">
        <v>5</v>
      </c>
      <c r="B40" s="33">
        <f>VLOOKUP(Table6[[#This Row],[Type]],List!$A$4:$B$45,2,0)</f>
        <v>4999000</v>
      </c>
      <c r="C40" s="3">
        <v>9</v>
      </c>
      <c r="D40" s="28">
        <v>0.36</v>
      </c>
      <c r="E40" s="28">
        <v>0.1</v>
      </c>
      <c r="F40" s="31">
        <f t="shared" si="10"/>
        <v>499900</v>
      </c>
      <c r="G40" s="33">
        <f t="shared" si="11"/>
        <v>4499100</v>
      </c>
      <c r="H40" s="49">
        <f t="shared" ref="H40:H69" si="14">PMT(D40/9,C40,-G40)</f>
        <v>605097.42344629136</v>
      </c>
      <c r="I40" s="33">
        <f t="shared" si="12"/>
        <v>5445876.811016622</v>
      </c>
      <c r="J40" s="45">
        <f t="shared" si="13"/>
        <v>446876.811016622</v>
      </c>
    </row>
    <row r="41" spans="1:10" x14ac:dyDescent="0.25">
      <c r="A41" s="47" t="s">
        <v>6</v>
      </c>
      <c r="B41" s="33">
        <f>VLOOKUP(Table6[[#This Row],[Type]],List!$A$4:$B$45,2,0)</f>
        <v>6299000</v>
      </c>
      <c r="C41" s="3">
        <v>9</v>
      </c>
      <c r="D41" s="28">
        <v>0.36</v>
      </c>
      <c r="E41" s="28">
        <v>0.1</v>
      </c>
      <c r="F41" s="31">
        <f t="shared" si="10"/>
        <v>629900</v>
      </c>
      <c r="G41" s="33">
        <f t="shared" si="11"/>
        <v>5669100</v>
      </c>
      <c r="H41" s="49">
        <f t="shared" si="14"/>
        <v>762454.22490261821</v>
      </c>
      <c r="I41" s="33">
        <f t="shared" si="12"/>
        <v>6862088.0241235644</v>
      </c>
      <c r="J41" s="45">
        <f t="shared" si="13"/>
        <v>563088.02412356436</v>
      </c>
    </row>
    <row r="42" spans="1:10" x14ac:dyDescent="0.25">
      <c r="A42" s="47" t="s">
        <v>7</v>
      </c>
      <c r="B42" s="33">
        <f>VLOOKUP(Table6[[#This Row],[Type]],List!$A$4:$B$45,2,0)</f>
        <v>8999000</v>
      </c>
      <c r="C42" s="3">
        <v>9</v>
      </c>
      <c r="D42" s="28">
        <v>0.36</v>
      </c>
      <c r="E42" s="28">
        <v>0.1</v>
      </c>
      <c r="F42" s="31">
        <f t="shared" si="10"/>
        <v>899900</v>
      </c>
      <c r="G42" s="33">
        <f t="shared" si="11"/>
        <v>8099100</v>
      </c>
      <c r="H42" s="49">
        <f t="shared" si="14"/>
        <v>1089272.1971580666</v>
      </c>
      <c r="I42" s="33">
        <f t="shared" si="12"/>
        <v>9803449.774422599</v>
      </c>
      <c r="J42" s="45">
        <f t="shared" si="13"/>
        <v>804449.774422599</v>
      </c>
    </row>
    <row r="43" spans="1:10" x14ac:dyDescent="0.25">
      <c r="A43" s="47" t="s">
        <v>8</v>
      </c>
      <c r="B43" s="33">
        <f>VLOOKUP(Table6[[#This Row],[Type]],List!$A$4:$B$45,2,0)</f>
        <v>9999000</v>
      </c>
      <c r="C43" s="3">
        <v>9</v>
      </c>
      <c r="D43" s="28">
        <v>0.36</v>
      </c>
      <c r="E43" s="28">
        <v>0.1</v>
      </c>
      <c r="F43" s="31">
        <f t="shared" si="10"/>
        <v>999900</v>
      </c>
      <c r="G43" s="33">
        <f t="shared" si="11"/>
        <v>8999100</v>
      </c>
      <c r="H43" s="49">
        <f t="shared" si="14"/>
        <v>1210315.8905860106</v>
      </c>
      <c r="I43" s="33">
        <f t="shared" si="12"/>
        <v>10892843.015274096</v>
      </c>
      <c r="J43" s="45">
        <f t="shared" si="13"/>
        <v>893843.01527409628</v>
      </c>
    </row>
    <row r="44" spans="1:10" x14ac:dyDescent="0.25">
      <c r="A44" s="47" t="s">
        <v>10</v>
      </c>
      <c r="B44" s="33">
        <f>VLOOKUP(Table6[[#This Row],[Type]],List!$A$4:$B$45,2,0)</f>
        <v>1599000</v>
      </c>
      <c r="C44" s="3">
        <v>9</v>
      </c>
      <c r="D44" s="28">
        <v>0.36</v>
      </c>
      <c r="E44" s="28">
        <v>0.1</v>
      </c>
      <c r="F44" s="31">
        <f t="shared" si="10"/>
        <v>159900</v>
      </c>
      <c r="G44" s="33">
        <f t="shared" si="11"/>
        <v>1439100</v>
      </c>
      <c r="H44" s="49">
        <f t="shared" si="14"/>
        <v>193548.86579128221</v>
      </c>
      <c r="I44" s="33">
        <f t="shared" si="12"/>
        <v>1741939.7921215398</v>
      </c>
      <c r="J44" s="45">
        <f t="shared" si="13"/>
        <v>142939.79212153982</v>
      </c>
    </row>
    <row r="45" spans="1:10" x14ac:dyDescent="0.25">
      <c r="A45" s="47" t="s">
        <v>11</v>
      </c>
      <c r="B45" s="33">
        <f>VLOOKUP(Table6[[#This Row],[Type]],List!$A$4:$B$45,2,0)</f>
        <v>1540000</v>
      </c>
      <c r="C45" s="3">
        <v>9</v>
      </c>
      <c r="D45" s="28">
        <v>0.36</v>
      </c>
      <c r="E45" s="28">
        <v>0.1</v>
      </c>
      <c r="F45" s="31">
        <f t="shared" si="10"/>
        <v>154000</v>
      </c>
      <c r="G45" s="33">
        <f t="shared" si="11"/>
        <v>1386000</v>
      </c>
      <c r="H45" s="49">
        <f t="shared" si="14"/>
        <v>186407.28787903354</v>
      </c>
      <c r="I45" s="33">
        <f t="shared" si="12"/>
        <v>1677665.5909113018</v>
      </c>
      <c r="J45" s="45">
        <f t="shared" si="13"/>
        <v>137665.59091130178</v>
      </c>
    </row>
    <row r="46" spans="1:10" x14ac:dyDescent="0.25">
      <c r="A46" s="47" t="s">
        <v>12</v>
      </c>
      <c r="B46" s="33">
        <f>VLOOKUP(Table6[[#This Row],[Type]],List!$A$4:$B$45,2,0)</f>
        <v>2149900</v>
      </c>
      <c r="C46" s="3">
        <v>9</v>
      </c>
      <c r="D46" s="28">
        <v>0.36</v>
      </c>
      <c r="E46" s="28">
        <v>0.1</v>
      </c>
      <c r="F46" s="31">
        <f t="shared" si="10"/>
        <v>214990</v>
      </c>
      <c r="G46" s="33">
        <f t="shared" si="11"/>
        <v>1934910</v>
      </c>
      <c r="H46" s="49">
        <f t="shared" si="14"/>
        <v>260231.83650073648</v>
      </c>
      <c r="I46" s="33">
        <f t="shared" si="12"/>
        <v>2342086.5285066282</v>
      </c>
      <c r="J46" s="45">
        <f t="shared" si="13"/>
        <v>192186.52850662824</v>
      </c>
    </row>
    <row r="47" spans="1:10" x14ac:dyDescent="0.25">
      <c r="A47" s="47" t="s">
        <v>13</v>
      </c>
      <c r="B47" s="33">
        <f>VLOOKUP(Table6[[#This Row],[Type]],List!$A$4:$B$45,2,0)</f>
        <v>1850000</v>
      </c>
      <c r="C47" s="3">
        <v>9</v>
      </c>
      <c r="D47" s="28">
        <v>0.36</v>
      </c>
      <c r="E47" s="28">
        <v>0.1</v>
      </c>
      <c r="F47" s="31">
        <f t="shared" si="10"/>
        <v>185000</v>
      </c>
      <c r="G47" s="33">
        <f t="shared" si="11"/>
        <v>1665000</v>
      </c>
      <c r="H47" s="49">
        <f t="shared" si="14"/>
        <v>223930.8328416961</v>
      </c>
      <c r="I47" s="33">
        <f t="shared" si="12"/>
        <v>2015377.495575265</v>
      </c>
      <c r="J47" s="45">
        <f t="shared" si="13"/>
        <v>165377.49557526503</v>
      </c>
    </row>
    <row r="48" spans="1:10" x14ac:dyDescent="0.25">
      <c r="A48" s="47" t="s">
        <v>14</v>
      </c>
      <c r="B48" s="33">
        <f>VLOOKUP(Table6[[#This Row],[Type]],List!$A$4:$B$45,2,0)</f>
        <v>1699000</v>
      </c>
      <c r="C48" s="3">
        <v>9</v>
      </c>
      <c r="D48" s="28">
        <v>0.36</v>
      </c>
      <c r="E48" s="28">
        <v>0.1</v>
      </c>
      <c r="F48" s="31">
        <f t="shared" si="10"/>
        <v>169900</v>
      </c>
      <c r="G48" s="33">
        <f t="shared" si="11"/>
        <v>1529100</v>
      </c>
      <c r="H48" s="49">
        <f t="shared" si="14"/>
        <v>205653.23513407659</v>
      </c>
      <c r="I48" s="33">
        <f t="shared" si="12"/>
        <v>1850879.1162066893</v>
      </c>
      <c r="J48" s="45">
        <f t="shared" si="13"/>
        <v>151879.11620668927</v>
      </c>
    </row>
    <row r="49" spans="1:10" x14ac:dyDescent="0.25">
      <c r="A49" s="47" t="s">
        <v>15</v>
      </c>
      <c r="B49" s="33">
        <f>VLOOKUP(Table6[[#This Row],[Type]],List!$A$4:$B$45,2,0)</f>
        <v>2250000</v>
      </c>
      <c r="C49" s="3">
        <v>9</v>
      </c>
      <c r="D49" s="28">
        <v>0.36</v>
      </c>
      <c r="E49" s="28">
        <v>0.1</v>
      </c>
      <c r="F49" s="31">
        <f t="shared" si="10"/>
        <v>225000</v>
      </c>
      <c r="G49" s="33">
        <f t="shared" si="11"/>
        <v>2025000</v>
      </c>
      <c r="H49" s="49">
        <f t="shared" si="14"/>
        <v>272348.31021287368</v>
      </c>
      <c r="I49" s="33">
        <f t="shared" si="12"/>
        <v>2451134.7919158633</v>
      </c>
      <c r="J49" s="45">
        <f t="shared" si="13"/>
        <v>201134.79191586329</v>
      </c>
    </row>
    <row r="50" spans="1:10" x14ac:dyDescent="0.25">
      <c r="A50" s="47" t="s">
        <v>16</v>
      </c>
      <c r="B50" s="33">
        <f>VLOOKUP(Table6[[#This Row],[Type]],List!$A$4:$B$45,2,0)</f>
        <v>1599000</v>
      </c>
      <c r="C50" s="3">
        <v>9</v>
      </c>
      <c r="D50" s="28">
        <v>0.36</v>
      </c>
      <c r="E50" s="28">
        <v>0.1</v>
      </c>
      <c r="F50" s="31">
        <f t="shared" si="10"/>
        <v>159900</v>
      </c>
      <c r="G50" s="33">
        <f t="shared" si="11"/>
        <v>1439100</v>
      </c>
      <c r="H50" s="49">
        <f t="shared" si="14"/>
        <v>193548.86579128221</v>
      </c>
      <c r="I50" s="33">
        <f t="shared" si="12"/>
        <v>1741939.7921215398</v>
      </c>
      <c r="J50" s="45">
        <f t="shared" si="13"/>
        <v>142939.79212153982</v>
      </c>
    </row>
    <row r="51" spans="1:10" x14ac:dyDescent="0.25">
      <c r="A51" s="47" t="s">
        <v>17</v>
      </c>
      <c r="B51" s="33">
        <f>VLOOKUP(Table6[[#This Row],[Type]],List!$A$4:$B$45,2,0)</f>
        <v>1799000</v>
      </c>
      <c r="C51" s="3">
        <v>9</v>
      </c>
      <c r="D51" s="28">
        <v>0.36</v>
      </c>
      <c r="E51" s="28">
        <v>0.1</v>
      </c>
      <c r="F51" s="31">
        <f t="shared" si="10"/>
        <v>179900</v>
      </c>
      <c r="G51" s="33">
        <f t="shared" si="11"/>
        <v>1619100</v>
      </c>
      <c r="H51" s="49">
        <f t="shared" si="14"/>
        <v>217757.60447687097</v>
      </c>
      <c r="I51" s="33">
        <f t="shared" si="12"/>
        <v>1959818.4402918387</v>
      </c>
      <c r="J51" s="45">
        <f t="shared" si="13"/>
        <v>160818.44029183872</v>
      </c>
    </row>
    <row r="52" spans="1:10" x14ac:dyDescent="0.25">
      <c r="A52" s="47" t="s">
        <v>18</v>
      </c>
      <c r="B52" s="33">
        <f>VLOOKUP(Table6[[#This Row],[Type]],List!$A$4:$B$45,2,0)</f>
        <v>2099000</v>
      </c>
      <c r="C52" s="3">
        <v>9</v>
      </c>
      <c r="D52" s="28">
        <v>0.36</v>
      </c>
      <c r="E52" s="28">
        <v>0.1</v>
      </c>
      <c r="F52" s="31">
        <f t="shared" si="10"/>
        <v>209900</v>
      </c>
      <c r="G52" s="33">
        <f t="shared" si="11"/>
        <v>1889100</v>
      </c>
      <c r="H52" s="49">
        <f t="shared" si="14"/>
        <v>254070.71250525417</v>
      </c>
      <c r="I52" s="33">
        <f t="shared" si="12"/>
        <v>2286636.4125472875</v>
      </c>
      <c r="J52" s="45">
        <f t="shared" si="13"/>
        <v>187636.41254728753</v>
      </c>
    </row>
    <row r="53" spans="1:10" x14ac:dyDescent="0.25">
      <c r="A53" s="47" t="s">
        <v>19</v>
      </c>
      <c r="B53" s="33">
        <f>VLOOKUP(Table6[[#This Row],[Type]],List!$A$4:$B$45,2,0)</f>
        <v>3699000</v>
      </c>
      <c r="C53" s="3">
        <v>9</v>
      </c>
      <c r="D53" s="28">
        <v>0.36</v>
      </c>
      <c r="E53" s="28">
        <v>0.1</v>
      </c>
      <c r="F53" s="31">
        <f t="shared" si="10"/>
        <v>369900</v>
      </c>
      <c r="G53" s="33">
        <f t="shared" si="11"/>
        <v>3329100</v>
      </c>
      <c r="H53" s="49">
        <f t="shared" si="14"/>
        <v>447740.62198996433</v>
      </c>
      <c r="I53" s="33">
        <f t="shared" si="12"/>
        <v>4029665.5979096792</v>
      </c>
      <c r="J53" s="45">
        <f t="shared" si="13"/>
        <v>330665.59790967917</v>
      </c>
    </row>
    <row r="54" spans="1:10" x14ac:dyDescent="0.25">
      <c r="A54" s="47" t="s">
        <v>21</v>
      </c>
      <c r="B54" s="33">
        <f>VLOOKUP(Table6[[#This Row],[Type]],List!$A$4:$B$45,2,0)</f>
        <v>3299000</v>
      </c>
      <c r="C54" s="3">
        <v>9</v>
      </c>
      <c r="D54" s="28">
        <v>0.36</v>
      </c>
      <c r="E54" s="28">
        <v>0.1</v>
      </c>
      <c r="F54" s="31">
        <f t="shared" si="10"/>
        <v>329900</v>
      </c>
      <c r="G54" s="33">
        <f t="shared" si="11"/>
        <v>2969100</v>
      </c>
      <c r="H54" s="49">
        <f t="shared" si="14"/>
        <v>399323.14461878676</v>
      </c>
      <c r="I54" s="33">
        <f t="shared" si="12"/>
        <v>3593908.3015690809</v>
      </c>
      <c r="J54" s="45">
        <f t="shared" si="13"/>
        <v>294908.30156908091</v>
      </c>
    </row>
    <row r="55" spans="1:10" x14ac:dyDescent="0.25">
      <c r="A55" s="47" t="s">
        <v>22</v>
      </c>
      <c r="B55" s="33">
        <f>VLOOKUP(Table6[[#This Row],[Type]],List!$A$4:$B$45,2,0)</f>
        <v>3699000</v>
      </c>
      <c r="C55" s="3">
        <v>9</v>
      </c>
      <c r="D55" s="28">
        <v>0.36</v>
      </c>
      <c r="E55" s="28">
        <v>0.1</v>
      </c>
      <c r="F55" s="31">
        <f t="shared" si="10"/>
        <v>369900</v>
      </c>
      <c r="G55" s="33">
        <f t="shared" si="11"/>
        <v>3329100</v>
      </c>
      <c r="H55" s="49">
        <f t="shared" si="14"/>
        <v>447740.62198996433</v>
      </c>
      <c r="I55" s="33">
        <f t="shared" si="12"/>
        <v>4029665.5979096792</v>
      </c>
      <c r="J55" s="45">
        <f t="shared" si="13"/>
        <v>330665.59790967917</v>
      </c>
    </row>
    <row r="56" spans="1:10" x14ac:dyDescent="0.25">
      <c r="A56" s="47" t="s">
        <v>23</v>
      </c>
      <c r="B56" s="33">
        <f>VLOOKUP(Table6[[#This Row],[Type]],List!$A$4:$B$45,2,0)</f>
        <v>1700000</v>
      </c>
      <c r="C56" s="3">
        <v>9</v>
      </c>
      <c r="D56" s="28">
        <v>0.36</v>
      </c>
      <c r="E56" s="28">
        <v>0.1</v>
      </c>
      <c r="F56" s="31">
        <f t="shared" si="10"/>
        <v>170000</v>
      </c>
      <c r="G56" s="33">
        <f t="shared" si="11"/>
        <v>1530000</v>
      </c>
      <c r="H56" s="49">
        <f t="shared" si="14"/>
        <v>205774.27882750455</v>
      </c>
      <c r="I56" s="33">
        <f t="shared" si="12"/>
        <v>1851968.5094475409</v>
      </c>
      <c r="J56" s="45">
        <f t="shared" si="13"/>
        <v>151968.50944754086</v>
      </c>
    </row>
    <row r="57" spans="1:10" x14ac:dyDescent="0.25">
      <c r="A57" s="47" t="s">
        <v>24</v>
      </c>
      <c r="B57" s="33">
        <f>VLOOKUP(Table6[[#This Row],[Type]],List!$A$4:$B$45,2,0)</f>
        <v>1750000</v>
      </c>
      <c r="C57" s="3">
        <v>9</v>
      </c>
      <c r="D57" s="28">
        <v>0.36</v>
      </c>
      <c r="E57" s="28">
        <v>0.1</v>
      </c>
      <c r="F57" s="31">
        <f t="shared" si="10"/>
        <v>175000</v>
      </c>
      <c r="G57" s="33">
        <f t="shared" si="11"/>
        <v>1575000</v>
      </c>
      <c r="H57" s="49">
        <f t="shared" si="14"/>
        <v>211826.46349890172</v>
      </c>
      <c r="I57" s="33">
        <f t="shared" si="12"/>
        <v>1906438.1714901156</v>
      </c>
      <c r="J57" s="45">
        <f t="shared" si="13"/>
        <v>156438.17149011558</v>
      </c>
    </row>
    <row r="58" spans="1:10" x14ac:dyDescent="0.25">
      <c r="A58" s="47" t="s">
        <v>25</v>
      </c>
      <c r="B58" s="33">
        <f>VLOOKUP(Table6[[#This Row],[Type]],List!$A$4:$B$45,2,0)</f>
        <v>1350000</v>
      </c>
      <c r="C58" s="3">
        <v>9</v>
      </c>
      <c r="D58" s="28">
        <v>0.36</v>
      </c>
      <c r="E58" s="28">
        <v>0.1</v>
      </c>
      <c r="F58" s="31">
        <f t="shared" si="10"/>
        <v>135000</v>
      </c>
      <c r="G58" s="33">
        <f t="shared" si="11"/>
        <v>1215000</v>
      </c>
      <c r="H58" s="49">
        <f t="shared" si="14"/>
        <v>163408.9861277242</v>
      </c>
      <c r="I58" s="33">
        <f t="shared" si="12"/>
        <v>1470680.8751495178</v>
      </c>
      <c r="J58" s="45">
        <f t="shared" si="13"/>
        <v>120680.87514951779</v>
      </c>
    </row>
    <row r="59" spans="1:10" x14ac:dyDescent="0.25">
      <c r="A59" s="47" t="s">
        <v>28</v>
      </c>
      <c r="B59" s="33">
        <f>VLOOKUP(Table6[[#This Row],[Type]],List!$A$4:$B$45,2,0)</f>
        <v>1999000</v>
      </c>
      <c r="C59" s="3">
        <v>9</v>
      </c>
      <c r="D59" s="28">
        <v>0.36</v>
      </c>
      <c r="E59" s="28">
        <v>0.1</v>
      </c>
      <c r="F59" s="31">
        <f t="shared" si="10"/>
        <v>199900</v>
      </c>
      <c r="G59" s="33">
        <f t="shared" si="11"/>
        <v>1799100</v>
      </c>
      <c r="H59" s="49">
        <f t="shared" si="14"/>
        <v>241966.34316245979</v>
      </c>
      <c r="I59" s="33">
        <f t="shared" si="12"/>
        <v>2177697.0884621381</v>
      </c>
      <c r="J59" s="45">
        <f t="shared" si="13"/>
        <v>178697.08846213808</v>
      </c>
    </row>
    <row r="60" spans="1:10" x14ac:dyDescent="0.25">
      <c r="A60" s="47" t="s">
        <v>26</v>
      </c>
      <c r="B60" s="33">
        <f>VLOOKUP(Table6[[#This Row],[Type]],List!$A$4:$B$45,2,0)</f>
        <v>1699000</v>
      </c>
      <c r="C60" s="3">
        <v>9</v>
      </c>
      <c r="D60" s="28">
        <v>0.36</v>
      </c>
      <c r="E60" s="28">
        <v>0.1</v>
      </c>
      <c r="F60" s="31">
        <f t="shared" si="10"/>
        <v>169900</v>
      </c>
      <c r="G60" s="33">
        <f t="shared" si="11"/>
        <v>1529100</v>
      </c>
      <c r="H60" s="49">
        <f t="shared" si="14"/>
        <v>205653.23513407659</v>
      </c>
      <c r="I60" s="33">
        <f t="shared" si="12"/>
        <v>1850879.1162066893</v>
      </c>
      <c r="J60" s="45">
        <f t="shared" si="13"/>
        <v>151879.11620668927</v>
      </c>
    </row>
    <row r="61" spans="1:10" x14ac:dyDescent="0.25">
      <c r="A61" s="47" t="s">
        <v>27</v>
      </c>
      <c r="B61" s="33">
        <f>VLOOKUP(Table6[[#This Row],[Type]],List!$A$4:$B$45,2,0)</f>
        <v>2350000</v>
      </c>
      <c r="C61" s="3">
        <v>9</v>
      </c>
      <c r="D61" s="28">
        <v>0.36</v>
      </c>
      <c r="E61" s="28">
        <v>0.1</v>
      </c>
      <c r="F61" s="31">
        <f t="shared" si="10"/>
        <v>235000</v>
      </c>
      <c r="G61" s="33">
        <f t="shared" si="11"/>
        <v>2115000</v>
      </c>
      <c r="H61" s="49">
        <f t="shared" si="14"/>
        <v>284452.67955566803</v>
      </c>
      <c r="I61" s="33">
        <f t="shared" si="12"/>
        <v>2560074.1160010123</v>
      </c>
      <c r="J61" s="45">
        <f t="shared" si="13"/>
        <v>210074.11600101227</v>
      </c>
    </row>
    <row r="62" spans="1:10" x14ac:dyDescent="0.25">
      <c r="A62" s="47" t="s">
        <v>29</v>
      </c>
      <c r="B62" s="33">
        <f>VLOOKUP(Table6[[#This Row],[Type]],List!$A$4:$B$45,2,0)</f>
        <v>3299000</v>
      </c>
      <c r="C62" s="3">
        <v>9</v>
      </c>
      <c r="D62" s="28">
        <v>0.36</v>
      </c>
      <c r="E62" s="28">
        <v>0.1</v>
      </c>
      <c r="F62" s="31">
        <f t="shared" si="10"/>
        <v>329900</v>
      </c>
      <c r="G62" s="33">
        <f t="shared" si="11"/>
        <v>2969100</v>
      </c>
      <c r="H62" s="49">
        <f t="shared" si="14"/>
        <v>399323.14461878676</v>
      </c>
      <c r="I62" s="33">
        <f t="shared" si="12"/>
        <v>3593908.3015690809</v>
      </c>
      <c r="J62" s="45">
        <f t="shared" si="13"/>
        <v>294908.30156908091</v>
      </c>
    </row>
    <row r="63" spans="1:10" x14ac:dyDescent="0.25">
      <c r="A63" s="47" t="s">
        <v>30</v>
      </c>
      <c r="B63" s="33">
        <f>VLOOKUP(Table6[[#This Row],[Type]],List!$A$4:$B$45,2,0)</f>
        <v>2249000</v>
      </c>
      <c r="C63" s="3">
        <v>9</v>
      </c>
      <c r="D63" s="28">
        <v>0.36</v>
      </c>
      <c r="E63" s="28">
        <v>0.1</v>
      </c>
      <c r="F63" s="31">
        <f t="shared" si="10"/>
        <v>224900</v>
      </c>
      <c r="G63" s="33">
        <f t="shared" si="11"/>
        <v>2024100</v>
      </c>
      <c r="H63" s="49">
        <f t="shared" si="14"/>
        <v>272227.26651944569</v>
      </c>
      <c r="I63" s="33">
        <f t="shared" si="12"/>
        <v>2450045.3986750115</v>
      </c>
      <c r="J63" s="45">
        <f t="shared" si="13"/>
        <v>201045.39867501147</v>
      </c>
    </row>
    <row r="64" spans="1:10" x14ac:dyDescent="0.25">
      <c r="A64" s="47" t="s">
        <v>31</v>
      </c>
      <c r="B64" s="33">
        <f>VLOOKUP(Table6[[#This Row],[Type]],List!$A$4:$B$45,2,0)</f>
        <v>2699000</v>
      </c>
      <c r="C64" s="3">
        <v>9</v>
      </c>
      <c r="D64" s="28">
        <v>0.36</v>
      </c>
      <c r="E64" s="28">
        <v>0.1</v>
      </c>
      <c r="F64" s="31">
        <f t="shared" si="10"/>
        <v>269900</v>
      </c>
      <c r="G64" s="33">
        <f t="shared" si="11"/>
        <v>2429100</v>
      </c>
      <c r="H64" s="49">
        <f t="shared" si="14"/>
        <v>326696.92856202042</v>
      </c>
      <c r="I64" s="33">
        <f t="shared" si="12"/>
        <v>2940272.3570581838</v>
      </c>
      <c r="J64" s="45">
        <f t="shared" si="13"/>
        <v>241272.35705818376</v>
      </c>
    </row>
    <row r="65" spans="1:10" x14ac:dyDescent="0.25">
      <c r="A65" s="47" t="s">
        <v>32</v>
      </c>
      <c r="B65" s="33">
        <f>VLOOKUP(Table6[[#This Row],[Type]],List!$A$4:$B$45,2,0)</f>
        <v>3299000</v>
      </c>
      <c r="C65" s="3">
        <v>9</v>
      </c>
      <c r="D65" s="28">
        <v>0.36</v>
      </c>
      <c r="E65" s="28">
        <v>0.1</v>
      </c>
      <c r="F65" s="31">
        <f t="shared" si="10"/>
        <v>329900</v>
      </c>
      <c r="G65" s="33">
        <f t="shared" si="11"/>
        <v>2969100</v>
      </c>
      <c r="H65" s="49">
        <f t="shared" si="14"/>
        <v>399323.14461878676</v>
      </c>
      <c r="I65" s="33">
        <f t="shared" si="12"/>
        <v>3593908.3015690809</v>
      </c>
      <c r="J65" s="45">
        <f t="shared" si="13"/>
        <v>294908.30156908091</v>
      </c>
    </row>
    <row r="66" spans="1:10" x14ac:dyDescent="0.25">
      <c r="A66" s="47" t="s">
        <v>34</v>
      </c>
      <c r="B66" s="33">
        <f>VLOOKUP(Table6[[#This Row],[Type]],List!$A$4:$B$45,2,0)</f>
        <v>9999000</v>
      </c>
      <c r="C66" s="3">
        <v>9</v>
      </c>
      <c r="D66" s="28">
        <v>0.36</v>
      </c>
      <c r="E66" s="28">
        <v>0.1</v>
      </c>
      <c r="F66" s="31">
        <f t="shared" si="10"/>
        <v>999900</v>
      </c>
      <c r="G66" s="33">
        <f t="shared" si="11"/>
        <v>8999100</v>
      </c>
      <c r="H66" s="49">
        <f t="shared" si="14"/>
        <v>1210315.8905860106</v>
      </c>
      <c r="I66" s="33">
        <f t="shared" si="12"/>
        <v>10892843.015274096</v>
      </c>
      <c r="J66" s="45">
        <f t="shared" si="13"/>
        <v>893843.01527409628</v>
      </c>
    </row>
    <row r="67" spans="1:10" x14ac:dyDescent="0.25">
      <c r="A67" s="47" t="s">
        <v>35</v>
      </c>
      <c r="B67" s="33">
        <f>VLOOKUP(Table6[[#This Row],[Type]],List!$A$4:$B$45,2,0)</f>
        <v>10299000</v>
      </c>
      <c r="C67" s="3">
        <v>9</v>
      </c>
      <c r="D67" s="28">
        <v>0.36</v>
      </c>
      <c r="E67" s="28">
        <v>0.1</v>
      </c>
      <c r="F67" s="31">
        <f t="shared" si="10"/>
        <v>1029900</v>
      </c>
      <c r="G67" s="33">
        <f t="shared" si="11"/>
        <v>9269100</v>
      </c>
      <c r="H67" s="49">
        <f t="shared" si="14"/>
        <v>1246628.9986143936</v>
      </c>
      <c r="I67" s="33">
        <f t="shared" si="12"/>
        <v>11219660.987529542</v>
      </c>
      <c r="J67" s="45">
        <f t="shared" si="13"/>
        <v>920660.9875295423</v>
      </c>
    </row>
    <row r="68" spans="1:10" x14ac:dyDescent="0.25">
      <c r="A68" s="47" t="s">
        <v>36</v>
      </c>
      <c r="B68" s="33">
        <f>VLOOKUP(Table6[[#This Row],[Type]],List!$A$4:$B$45,2,0)</f>
        <v>3999000</v>
      </c>
      <c r="C68" s="3">
        <v>9</v>
      </c>
      <c r="D68" s="28">
        <v>0.36</v>
      </c>
      <c r="E68" s="28">
        <v>0.1</v>
      </c>
      <c r="F68" s="31">
        <f t="shared" si="10"/>
        <v>399900</v>
      </c>
      <c r="G68" s="33">
        <f t="shared" si="11"/>
        <v>3599100</v>
      </c>
      <c r="H68" s="49">
        <f t="shared" si="14"/>
        <v>484053.73001834744</v>
      </c>
      <c r="I68" s="33">
        <f t="shared" si="12"/>
        <v>4356483.5701651266</v>
      </c>
      <c r="J68" s="45">
        <f t="shared" si="13"/>
        <v>357483.57016512658</v>
      </c>
    </row>
    <row r="69" spans="1:10" x14ac:dyDescent="0.25">
      <c r="A69" s="48" t="s">
        <v>37</v>
      </c>
      <c r="B69" s="33">
        <f>VLOOKUP(Table6[[#This Row],[Type]],List!$A$4:$B$45,2,0)</f>
        <v>5999000</v>
      </c>
      <c r="C69" s="30">
        <v>9</v>
      </c>
      <c r="D69" s="28">
        <v>0.36</v>
      </c>
      <c r="E69" s="28">
        <v>0.1</v>
      </c>
      <c r="F69" s="31">
        <f t="shared" si="10"/>
        <v>599900</v>
      </c>
      <c r="G69" s="33">
        <f t="shared" si="11"/>
        <v>5399100</v>
      </c>
      <c r="H69" s="49">
        <f t="shared" si="14"/>
        <v>726141.1168742351</v>
      </c>
      <c r="I69" s="33">
        <f t="shared" si="12"/>
        <v>6535270.0518681156</v>
      </c>
      <c r="J69" s="45">
        <f t="shared" si="13"/>
        <v>536270.05186811555</v>
      </c>
    </row>
  </sheetData>
  <mergeCells count="1">
    <mergeCell ref="A1:L1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 L e f t 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 L e f t 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 D e t a i l  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 6 5 < / i n t > < / v a l u e > < / i t e m > < i t e m > < k e y > < s t r i n g > P r i c e < / s t r i n g > < / k e y > < v a l u e > < i n t > 6 7 < / i n t > < / v a l u e > < / i t e m > < i t e m > < k e y > < s t r i n g > S t o c k < / s t r i n g > < / k e y > < v a l u e > < i n t > 6 9 < / i n t > < / v a l u e > < / i t e m > < i t e m > < k e y > < s t r i n g > C a t e g o r y < / s t r i n g > < / k e y > < v a l u e > < i n t > 9 1 < / i n t > < / v a l u e > < / i t e m > < i t e m > < k e y > < s t r i n g > P u b l i s h e d   O n < / s t r i n g > < / k e y > < v a l u e > < i n t > 1 1 9 < / i n t > < / v a l u e > < / i t e m > < i t e m > < k e y > < s t r i n g > I D   P r o d u c t < / s t r i n g > < / k e y > < v a l u e > < i n t > 1 0 0 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 P r i c e < / s t r i n g > < / k e y > < v a l u e > < i n t > 1 < / i n t > < / v a l u e > < / i t e m > < i t e m > < k e y > < s t r i n g > S t o c k 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 P u b l i s h e d   O n < / s t r i n g > < / k e y > < v a l u e > < i n t > 4 < / i n t > < / v a l u e > < / i t e m > < i t e m > < k e y > < s t r i n g > I D   P r o d u c t 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l e 2 , T a b l e 1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 1 3 6 < / i n t > < / v a l u e > < / i t e m > < i t e m > < k e y > < s t r i n g > T r a n s a c t i o n   D a t e < / s t r i n g > < / k e y > < v a l u e > < i n t > 1 3 7 < / i n t > < / v a l u e > < / i t e m > < i t e m > < k e y > < s t r i n g > I t e m   N a m e < / s t r i n g > < / k e y > < v a l u e > < i n t > 1 0 5 < / i n t > < / v a l u e > < / i t e m > < i t e m > < k e y > < s t r i n g > C a t e g o r y < / s t r i n g > < / k e y > < v a l u e > < i n t > 9 1 < / i n t > < / v a l u e > < / i t e m > < i t e m > < k e y > < s t r i n g > Q u a n t i t y < / s t r i n g > < / k e y > < v a l u e > < i n t > 8 9 < / i n t > < / v a l u e > < / i t e m > < i t e m > < k e y > < s t r i n g > S t o c k < / s t r i n g > < / k e y > < v a l u e > < i n t > 6 9 < / i n t > < / v a l u e > < / i t e m > < i t e m > < k e y > < s t r i n g > S t o c k   L e f t < / s t r i n g > < / k e y > < v a l u e > < i n t > 9 5 < / i n t > < / v a l u e > < / i t e m > < i t e m > < k e y > < s t r i n g > P r i c e < / s t r i n g > < / k e y > < v a l u e > < i n t > 6 7 < / i n t > < / v a l u e > < / i t e m > < i t e m > < k e y > < s t r i n g > T o t a l   P r i c e < / s t r i n g > < / k e y > < v a l u e > < i n t > 1 0 0 < / i n t > < / v a l u e > < / i t e m > < i t e m > < k e y > < s t r i n g > I D   P r o d u c t < / s t r i n g > < / k e y > < v a l u e > < i n t > 1 0 0 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 T r a n s a c t i o n   D a t e < / s t r i n g > < / k e y > < v a l u e > < i n t > 1 < / i n t > < / v a l u e > < / i t e m > < i t e m > < k e y > < s t r i n g > I t e m   N a m e 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 S t o c k < / s t r i n g > < / k e y > < v a l u e > < i n t > 5 < / i n t > < / v a l u e > < / i t e m > < i t e m > < k e y > < s t r i n g > S t o c k   L e f t < / s t r i n g > < / k e y > < v a l u e > < i n t > 6 < / i n t > < / v a l u e > < / i t e m > < i t e m > < k e y > < s t r i n g > P r i c e < / s t r i n g > < / k e y > < v a l u e > < i n t > 7 < / i n t > < / v a l u e > < / i t e m > < i t e m > < k e y > < s t r i n g > T o t a l   P r i c e < / s t r i n g > < / k e y > < v a l u e > < i n t > 8 < / i n t > < / v a l u e > < / i t e m > < i t e m > < k e y > < s t r i n g > I D   P r o d u c t 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 P r i c e   L i s t   O p p o < / s t r i n g > < / k e y > < v a l u e > < i n t > 1 2 8 < / i n t > < / v a l u e > < / i t e m > < i t e m > < k e y > < s t r i n g > C o l u m n 1 < / s t r i n g > < / k e y > < v a l u e > < i n t > 9 1 < / i n t > < / v a l u e > < / i t e m > < i t e m > < k e y > < s t r i n g > I D < / s t r i n g > < / k e y > < v a l u e > < i n t > 4 9 < / i n t > < / v a l u e > < / i t e m > < / C o l u m n W i d t h s > < C o l u m n D i s p l a y I n d e x > < i t e m > < k e y > < s t r i n g > P r i c e   L i s t   O p p o < / s t r i n g > < / k e y > < v a l u e > < i n t > 0 < / i n t > < / v a l u e > < / i t e m > < i t e m > < k e y > < s t r i n g > C o l u m n 1 < / s t r i n g > < / k e y > < v a l u e > < i n t > 1 < / i n t > < / v a l u e > < / i t e m > < i t e m > < k e y > < s t r i n g >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 P r i c e   2 < / K e y > < / D i a g r a m O b j e c t K e y > < D i a g r a m O b j e c t K e y > < K e y > M e a s u r e s \ S u m   o f   P r i c e   2 \ T a g I n f o \ F o r m u l a < / K e y > < / D i a g r a m O b j e c t K e y > < D i a g r a m O b j e c t K e y > < K e y > M e a s u r e s \ S u m   o f   P r i c e   2 \ T a g I n f o \ V a l u e < / K e y > < / D i a g r a m O b j e c t K e y > < D i a g r a m O b j e c t K e y > < K e y > M e a s u r e s \ S u m   o f   S t o c k   2 < / K e y > < / D i a g r a m O b j e c t K e y > < D i a g r a m O b j e c t K e y > < K e y > M e a s u r e s \ S u m   o f   S t o c k   2 \ T a g I n f o \ F o r m u l a < / K e y > < / D i a g r a m O b j e c t K e y > < D i a g r a m O b j e c t K e y > < K e y > M e a s u r e s \ S u m   o f   S t o c k   2 \ T a g I n f o \ V a l u e 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 T o t a l   P r i c e < / K e y > < / D i a g r a m O b j e c t K e y > < D i a g r a m O b j e c t K e y > < K e y > M e a s u r e s \ S u m   o f   T o t a l   P r i c e \ T a g I n f o \ F o r m u l a < / K e y > < / D i a g r a m O b j e c t K e y > < D i a g r a m O b j e c t K e y > < K e y > M e a s u r e s \ S u m   o f   T o t a l   P r i c e \ T a g I n f o \ V a l u e < / K e y > < / D i a g r a m O b j e c t K e y > < D i a g r a m O b j e c t K e y > < K e y > C o l u m n s \ C u s t o m e r   N a m e < / K e y > < / D i a g r a m O b j e c t K e y > < D i a g r a m O b j e c t K e y > < K e y > C o l u m n s \ T r a n s a c t i o n   D a t e < / K e y > < / D i a g r a m O b j e c t K e y > < D i a g r a m O b j e c t K e y > < K e y > C o l u m n s \ I t e m   N a m e < / K e y > < / D i a g r a m O b j e c t K e y > < D i a g r a m O b j e c t K e y > < K e y > C o l u m n s \ C a t e g o r y < / K e y > < / D i a g r a m O b j e c t K e y > < D i a g r a m O b j e c t K e y > < K e y > C o l u m n s \ Q u a n t i t y < / K e y > < / D i a g r a m O b j e c t K e y > < D i a g r a m O b j e c t K e y > < K e y > C o l u m n s \ S t o c k < / K e y > < / D i a g r a m O b j e c t K e y > < D i a g r a m O b j e c t K e y > < K e y > C o l u m n s \ S t o c k   L e f t < / K e y > < / D i a g r a m O b j e c t K e y > < D i a g r a m O b j e c t K e y > < K e y > C o l u m n s \ P r i c e < / K e y > < / D i a g r a m O b j e c t K e y > < D i a g r a m O b j e c t K e y > < K e y > C o l u m n s \ T o t a l   P r i c e < / K e y > < / D i a g r a m O b j e c t K e y > < D i a g r a m O b j e c t K e y > < K e y > C o l u m n s \ I D   P r o d u c t < / K e y > < / D i a g r a m O b j e c t K e y > < D i a g r a m O b j e c t K e y > < K e y > L i n k s \ & l t ; C o l u m n s \ S u m   o f   P r i c e   2 & g t ; - & l t ; M e a s u r e s \ P r i c e & g t ; < / K e y > < / D i a g r a m O b j e c t K e y > < D i a g r a m O b j e c t K e y > < K e y > L i n k s \ & l t ; C o l u m n s \ S u m   o f   P r i c e   2 & g t ; - & l t ; M e a s u r e s \ P r i c e & g t ; \ C O L U M N < / K e y > < / D i a g r a m O b j e c t K e y > < D i a g r a m O b j e c t K e y > < K e y > L i n k s \ & l t ; C o l u m n s \ S u m   o f   P r i c e   2 & g t ; - & l t ; M e a s u r e s \ P r i c e & g t ; \ M E A S U R E < / K e y > < / D i a g r a m O b j e c t K e y > < D i a g r a m O b j e c t K e y > < K e y > L i n k s \ & l t ; C o l u m n s \ S u m   o f   S t o c k   2 & g t ; - & l t ; M e a s u r e s \ S t o c k & g t ; < / K e y > < / D i a g r a m O b j e c t K e y > < D i a g r a m O b j e c t K e y > < K e y > L i n k s \ & l t ; C o l u m n s \ S u m   o f   S t o c k   2 & g t ; - & l t ; M e a s u r e s \ S t o c k & g t ; \ C O L U M N < / K e y > < / D i a g r a m O b j e c t K e y > < D i a g r a m O b j e c t K e y > < K e y > L i n k s \ & l t ; C o l u m n s \ S u m   o f   S t o c k   2 & g t ; - & l t ; M e a s u r e s \ S t o c k & g t ; \ M E A S U R E 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 T o t a l   P r i c e & g t ; - & l t ; M e a s u r e s \ T o t a l   P r i c e & g t ; < / K e y > < / D i a g r a m O b j e c t K e y > < D i a g r a m O b j e c t K e y > < K e y > L i n k s \ & l t ; C o l u m n s \ S u m   o f   T o t a l   P r i c e & g t ; - & l t ; M e a s u r e s \ T o t a l   P r i c e & g t ; \ C O L U M N < / K e y > < / D i a g r a m O b j e c t K e y > < D i a g r a m O b j e c t K e y > < K e y > L i n k s \ & l t ; C o l u m n s \ S u m   o f   T o t a l   P r i c e & g t ; - & l t ; M e a s u r e s \ T o t a l  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 P r i c e   2 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 S t o c k 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 S t o c k 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 S t o c k 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 P r i c e 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 L e f t 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 P r o d u c t 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 P r i c e   2 & g t ; - & l t ; M e a s u r e s \ P r i c e & g t ; 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  2 & g t ; - & l t ; M e a s u r e s \ P r i c e & g t ; \ C O L U M N 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 2 & g t ; - & l t ; M e a s u r e s \ P r i c e & g t ; \ M E A S U R E 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 S t o c k   2 & g t ; - & l t ; M e a s u r e s \ S t o c k & g t ; 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 S t o c k   2 & g t ; - & l t ; M e a s u r e s \ S t o c k & g t ; \ C O L U M N 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 S t o c k   2 & g t ; - & l t ; M e a s u r e s \ S t o c k & g t ; \ M E A S U R E 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 P r i c e & g t ; - & l t ; M e a s u r e s \ T o t a l 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 P r i c e & g t ; - & l t ; M e a s u r e s \ T o t a l 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 P r i c e & g t ; - & l t ; M e a s u r e s \ T o t a l  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 D e t a i l  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 D e t a i l  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 S t o c k < / K e y > < / D i a g r a m O b j e c t K e y > < D i a g r a m O b j e c t K e y > < K e y > M e a s u r e s \ S u m   o f   S t o c k \ T a g I n f o \ F o r m u l a < / K e y > < / D i a g r a m O b j e c t K e y > < D i a g r a m O b j e c t K e y > < K e y > M e a s u r e s \ S u m   o f   S t o c k \ T a g I n f o \ V a l u e < / K e y > < / D i a g r a m O b j e c t K e y > < D i a g r a m O b j e c t K e y > < K e y > M e a s u r e s \ S u m   o f   P r i c e < / K e y > < / D i a g r a m O b j e c t K e y > < D i a g r a m O b j e c t K e y > < K e y > M e a s u r e s \ S u m   o f   P r i c e \ T a g I n f o \ F o r m u l a < / K e y > < / D i a g r a m O b j e c t K e y > < D i a g r a m O b j e c t K e y > < K e y > M e a s u r e s \ S u m   o f   P r i c e \ T a g I n f o \ V a l u e < / K e y > < / D i a g r a m O b j e c t K e y > < D i a g r a m O b j e c t K e y > < K e y > C o l u m n s \ T y p e < / K e y > < / D i a g r a m O b j e c t K e y > < D i a g r a m O b j e c t K e y > < K e y > C o l u m n s \ P r i c e < / K e y > < / D i a g r a m O b j e c t K e y > < D i a g r a m O b j e c t K e y > < K e y > C o l u m n s \ S t o c k < / K e y > < / D i a g r a m O b j e c t K e y > < D i a g r a m O b j e c t K e y > < K e y > C o l u m n s \ C a t e g o r y < / K e y > < / D i a g r a m O b j e c t K e y > < D i a g r a m O b j e c t K e y > < K e y > C o l u m n s \ P u b l i s h e d   O n < / K e y > < / D i a g r a m O b j e c t K e y > < D i a g r a m O b j e c t K e y > < K e y > C o l u m n s \ I D   P r o d u c t < / K e y > < / D i a g r a m O b j e c t K e y > < D i a g r a m O b j e c t K e y > < K e y > L i n k s \ & l t ; C o l u m n s \ S u m   o f   S t o c k & g t ; - & l t ; M e a s u r e s \ S t o c k & g t ; < / K e y > < / D i a g r a m O b j e c t K e y > < D i a g r a m O b j e c t K e y > < K e y > L i n k s \ & l t ; C o l u m n s \ S u m   o f   S t o c k & g t ; - & l t ; M e a s u r e s \ S t o c k & g t ; \ C O L U M N < / K e y > < / D i a g r a m O b j e c t K e y > < D i a g r a m O b j e c t K e y > < K e y > L i n k s \ & l t ; C o l u m n s \ S u m   o f   S t o c k & g t ; - & l t ; M e a s u r e s \ S t o c k & g t ; \ M E A S U R E < / K e y > < / D i a g r a m O b j e c t K e y > < D i a g r a m O b j e c t K e y > < K e y > L i n k s \ & l t ; C o l u m n s \ S u m   o f   P r i c e & g t ; - & l t ; M e a s u r e s \ P r i c e & g t ; < / K e y > < / D i a g r a m O b j e c t K e y > < D i a g r a m O b j e c t K e y > < K e y > L i n k s \ & l t ; C o l u m n s \ S u m   o f   P r i c e & g t ; - & l t ; M e a s u r e s \ P r i c e & g t ; \ C O L U M N < / K e y > < / D i a g r a m O b j e c t K e y > < D i a g r a m O b j e c t K e y > < K e y > L i n k s \ & l t ; C o l u m n s \ S u m   o f   P r i c e & g t ; - & l t ; M e a s u r e s \ P r i c e & g t ; \ M E A S U R E 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 S t o c k 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 S t o c k \ T a g I n f o \ F o r m u l a 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 S t o c k \ T a g I n f o \ V a l u e 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 C o l u m n s \ P u b l i s h e d  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 S t o c k & g t ; - & l t ; M e a s u r e s \ S t o c k & g t ; 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 S t o c k & g t ; - & l t ; M e a s u r e s \ S t o c k & g t ; \ C O L U M N 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 S t o c k & g t ; - & l t ; M e a s u r e s \ S t o c k & g t ; \ M E A S U R E 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 T r a n s a c t i o n < / K e y > < / D i a g r a m O b j e c t K e y > < D i a g r a m O b j e c t K e y > < K e y > A c t i o n s \ A d d   t o   h i e r a r c h y   F o r   & l t ; T a b l e s \ T r a n s a c t i o n \ H i e r a r c h i e s \ H i e r a r c h y 1 & g t ; < / K e y > < / D i a g r a m O b j e c t K e y > < D i a g r a m O b j e c t K e y > < K e y > A c t i o n s \ M o v e   t o   a   H i e r a r c h y   i n   T a b l e   T r a n s a c t i o n < / K e y > < / D i a g r a m O b j e c t K e y > < D i a g r a m O b j e c t K e y > < K e y > A c t i o n s \ M o v e   i n t o   h i e r a r c h y   F o r   & l t ; T a b l e s \ T r a n s a c t i o n \ H i e r a r c h i e s \ H i e r a r c h y 1 & g t ; < / K e y > < / D i a g r a m O b j e c t K e y > < D i a g r a m O b j e c t K e y > < K e y > A c t i o n s \ A d d   t o   a   H i e r a r c h y   i n   T a b l e   D e t a i l   P r o d u c t < / K e y > < / D i a g r a m O b j e c t K e y > < D i a g r a m O b j e c t K e y > < K e y > A c t i o n s \ A d d   t o   h i e r a r c h y   F o r   & l t ; T a b l e s \ D e t a i l   P r o d u c t \ H i e r a r c h i e s \ H i e r a r c h y 1 & g t ; < / K e y > < / D i a g r a m O b j e c t K e y > < D i a g r a m O b j e c t K e y > < K e y > A c t i o n s \ M o v e   t o   a   H i e r a r c h y   i n   T a b l e   D e t a i l   P r o d u c t < / K e y > < / D i a g r a m O b j e c t K e y > < D i a g r a m O b j e c t K e y > < K e y > A c t i o n s \ M o v e   i n t o   h i e r a r c h y   F o r   & l t ; T a b l e s \ D e t a i l   P r o d u c t \ H i e r a r c h i e s \ H i e r a r c h y 1 & g t ; 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 T a g s \ H i e r a r c h i e s \ & l t ; T a b l e s \ T r a n s a c t i o n \ H i e r a r c h i e s \ H i e r a r c h y 1 & g t ; < / K e y > < / D i a g r a m O b j e c t K e y > < D i a g r a m O b j e c t K e y > < K e y > D y n a m i c   T a g s \ T a b l e s \ & l t ; T a b l e s \ D e t a i l   P r o d u c t & g t ; < / K e y > < / D i a g r a m O b j e c t K e y > < D i a g r a m O b j e c t K e y > < K e y > D y n a m i c   T a g s \ H i e r a r c h i e s \ & l t ; T a b l e s \ D e t a i l   P r o d u c t \ H i e r a r c h i e s \ H i e r a r c h y 1 & g t ; 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 T a b l e s \ T r a n s a c t i o n \ C o l u m n s \ C u s t o m e r   N a m e < / K e y > < / D i a g r a m O b j e c t K e y > < D i a g r a m O b j e c t K e y > < K e y > T a b l e s \ T r a n s a c t i o n \ C o l u m n s \ T r a n s a c t i o n   D a t e < / K e y > < / D i a g r a m O b j e c t K e y > < D i a g r a m O b j e c t K e y > < K e y > T a b l e s \ T r a n s a c t i o n \ C o l u m n s \ I t e m   N a m e < / K e y > < / D i a g r a m O b j e c t K e y > < D i a g r a m O b j e c t K e y > < K e y > T a b l e s \ T r a n s a c t i o n \ C o l u m n s \ C a t e g o r y 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 T a b l e s \ T r a n s a c t i o n \ C o l u m n s \ S t o c k < / K e y > < / D i a g r a m O b j e c t K e y > < D i a g r a m O b j e c t K e y > < K e y > T a b l e s \ T r a n s a c t i o n \ C o l u m n s \ S t o c k   L e f t < / K e y > < / D i a g r a m O b j e c t K e y > < D i a g r a m O b j e c t K e y > < K e y > T a b l e s \ T r a n s a c t i o n \ C o l u m n s \ P r i c e < / K e y > < / D i a g r a m O b j e c t K e y > < D i a g r a m O b j e c t K e y > < K e y > T a b l e s \ T r a n s a c t i o n \ C o l u m n s \ T o t a l   P r i c e < / K e y > < / D i a g r a m O b j e c t K e y > < D i a g r a m O b j e c t K e y > < K e y > T a b l e s \ T r a n s a c t i o n \ C o l u m n s \ I D   P r o d u c t < / K e y > < / D i a g r a m O b j e c t K e y > < D i a g r a m O b j e c t K e y > < K e y > T a b l e s \ T r a n s a c t i o n \ M e a s u r e s \ S u m   o f   P r i c e   2 < / K e y > < / D i a g r a m O b j e c t K e y > < D i a g r a m O b j e c t K e y > < K e y > T a b l e s \ T r a n s a c t i o n \ S u m   o f   P r i c e   2 \ A d d i t i o n a l   I n f o \ I m p l i c i t   M e a s u r e < / K e y > < / D i a g r a m O b j e c t K e y > < D i a g r a m O b j e c t K e y > < K e y > T a b l e s \ T r a n s a c t i o n \ M e a s u r e s \ S u m   o f   S t o c k   2 < / K e y > < / D i a g r a m O b j e c t K e y > < D i a g r a m O b j e c t K e y > < K e y > T a b l e s \ T r a n s a c t i o n \ S u m   o f   S t o c k   2 \ A d d i t i o n a l   I n f o \ I m p l i c i t   M e a s u r e < / K e y > < / D i a g r a m O b j e c t K e y > < D i a g r a m O b j e c t K e y > < K e y > T a b l e s \ T r a n s a c t i o n \ M e a s u r e s \ S u m   o f   Q u a n t i t y < / K e y > < / D i a g r a m O b j e c t K e y > < D i a g r a m O b j e c t K e y > < K e y > T a b l e s \ T r a n s a c t i o n \ S u m   o f   Q u a n t i t y \ A d d i t i o n a l   I n f o \ I m p l i c i t   M e a s u r e < / K e y > < / D i a g r a m O b j e c t K e y > < D i a g r a m O b j e c t K e y > < K e y > T a b l e s \ T r a n s a c t i o n \ M e a s u r e s \ S u m   o f   T o t a l   P r i c e < / K e y > < / D i a g r a m O b j e c t K e y > < D i a g r a m O b j e c t K e y > < K e y > T a b l e s \ T r a n s a c t i o n \ S u m   o f   T o t a l   P r i c e \ A d d i t i o n a l   I n f o \ I m p l i c i t   M e a s u r e < / K e y > < / D i a g r a m O b j e c t K e y > < D i a g r a m O b j e c t K e y > < K e y > T a b l e s \ T r a n s a c t i o n \ H i e r a r c h i e s \ H i e r a r c h y 1 < / K e y > < / D i a g r a m O b j e c t K e y > < D i a g r a m O b j e c t K e y > < K e y > T a b l e s \ T r a n s a c t i o n \ H i e r a r c h y 1 \ A d d i t i o n a l   I n f o \ H i n t   T e x t < / K e y > < / D i a g r a m O b j e c t K e y > < D i a g r a m O b j e c t K e y > < K e y > T a b l e s \ D e t a i l   P r o d u c t < / K e y > < / D i a g r a m O b j e c t K e y > < D i a g r a m O b j e c t K e y > < K e y > T a b l e s \ D e t a i l   P r o d u c t \ C o l u m n s \ T y p e < / K e y > < / D i a g r a m O b j e c t K e y > < D i a g r a m O b j e c t K e y > < K e y > T a b l e s \ D e t a i l   P r o d u c t \ C o l u m n s \ P r i c e < / K e y > < / D i a g r a m O b j e c t K e y > < D i a g r a m O b j e c t K e y > < K e y > T a b l e s \ D e t a i l   P r o d u c t \ C o l u m n s \ S t o c k < / K e y > < / D i a g r a m O b j e c t K e y > < D i a g r a m O b j e c t K e y > < K e y > T a b l e s \ D e t a i l   P r o d u c t \ C o l u m n s \ C a t e g o r y < / K e y > < / D i a g r a m O b j e c t K e y > < D i a g r a m O b j e c t K e y > < K e y > T a b l e s \ D e t a i l   P r o d u c t \ C o l u m n s \ P u b l i s h e d   O n < / K e y > < / D i a g r a m O b j e c t K e y > < D i a g r a m O b j e c t K e y > < K e y > T a b l e s \ D e t a i l   P r o d u c t \ C o l u m n s \ I D   P r o d u c t < / K e y > < / D i a g r a m O b j e c t K e y > < D i a g r a m O b j e c t K e y > < K e y > T a b l e s \ D e t a i l   P r o d u c t \ M e a s u r e s \ S u m   o f   S t o c k < / K e y > < / D i a g r a m O b j e c t K e y > < D i a g r a m O b j e c t K e y > < K e y > T a b l e s \ D e t a i l   P r o d u c t \ S u m   o f   S t o c k \ A d d i t i o n a l   I n f o \ I m p l i c i t   M e a s u r e < / K e y > < / D i a g r a m O b j e c t K e y > < D i a g r a m O b j e c t K e y > < K e y > T a b l e s \ D e t a i l   P r o d u c t \ M e a s u r e s \ S u m   o f   P r i c e < / K e y > < / D i a g r a m O b j e c t K e y > < D i a g r a m O b j e c t K e y > < K e y > T a b l e s \ D e t a i l   P r o d u c t \ S u m   o f   P r i c e \ A d d i t i o n a l   I n f o \ I m p l i c i t   M e a s u r e < / K e y > < / D i a g r a m O b j e c t K e y > < D i a g r a m O b j e c t K e y > < K e y > T a b l e s \ D e t a i l   P r o d u c t \ H i e r a r c h i e s \ H i e r a r c h y 1 < / K e y > < / D i a g r a m O b j e c t K e y > < D i a g r a m O b j e c t K e y > < K e y > T a b l e s \ D e t a i l   P r o d u c t \ H i e r a r c h y 1 \ A d d i t i o n a l   I n f o \ H i n t   T e x t < / K e y > < / D i a g r a m O b j e c t K e y > < D i a g r a m O b j e c t K e y > < K e y > R e l a t i o n s h i p s \ & l t ; T a b l e s \ T r a n s a c t i o n \ C o l u m n s \ C a t e g o r y & g t ; - & l t ; T a b l e s \ D e t a i l   P r o d u c t \ C o l u m n s \ I D   P r o d u c t & g t ; < / K e y > < / D i a g r a m O b j e c t K e y > < D i a g r a m O b j e c t K e y > < K e y > R e l a t i o n s h i p s \ & l t ; T a b l e s \ T r a n s a c t i o n \ C o l u m n s \ C a t e g o r y & g t ; - & l t ; T a b l e s \ D e t a i l   P r o d u c t \ C o l u m n s \ I D   P r o d u c t & g t ; \ F K < / K e y > < / D i a g r a m O b j e c t K e y > < D i a g r a m O b j e c t K e y > < K e y > R e l a t i o n s h i p s \ & l t ; T a b l e s \ T r a n s a c t i o n \ C o l u m n s \ C a t e g o r y & g t ; - & l t ; T a b l e s \ D e t a i l   P r o d u c t \ C o l u m n s \ I D   P r o d u c t & g t ; \ P K < / K e y > < / D i a g r a m O b j e c t K e y > < D i a g r a m O b j e c t K e y > < K e y > R e l a t i o n s h i p s \ & l t ; T a b l e s \ T r a n s a c t i o n \ C o l u m n s \ C a t e g o r y & g t ; - & l t ; T a b l e s \ D e t a i l   P r o d u c t \ C o l u m n s \ I D   P r o d u c t & g t ; \ C r o s s F i l t e r < / K e y > < / D i a g r a m O b j e c t K e y > < / A l l K e y s > < S e l e c t e d K e y s > < D i a g r a m O b j e c t K e y > < K e y > T a b l e s \ T r a n s a c t i o n 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 T r a n s a c t i o n 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 & l t ; T a b l e s \ T r a n s a c t i o n \ H i e r a r c h i e s \ H i e r a r c h y 1 & g t ; 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 T r a n s a c t i o n 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 & l t ; T a b l e s \ T r a n s a c t i o n \ H i e r a r c h i e s \ H i e r a r c h y 1 & g t ; 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 D e t a i l   P r o d u c t 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 & l t ; T a b l e s \ D e t a i l   P r o d u c t \ H i e r a r c h i e s \ H i e r a r c h y 1 & g t ; 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 D e t a i l   P r o d u c t 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 & l t ; T a b l e s \ D e t a i l   P r o d u c t \ H i e r a r c h i e s \ H i e r a r c h y 1 & g t ; 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 T a g s \ H i e r a r c h i e s \ & l t ; T a b l e s \ T r a n s a c t i o n \ H i e r a r c h i e s \ H i e r a r c h y 1 & g t ; 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 T a g s \ T a b l e s \ & l t ; T a b l e s \ D e t a i l  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 T a g s \ H i e r a r c h i e s \ & l t ; T a b l e s \ D e t a i l   P r o d u c t \ H i e r a r c h i e s \ H i e r a r c h y 1 & g t ; 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 3 1 9 < / H e i g h t > < I s E x p a n d e d > t r u e < / I s E x p a n d e d > < I s F o c u s e d > t r u e < / I s F o c u s e d > < L a y e d O u t > t r u e < / L a y e d O u t > < L e f t > 3 8 0 < / L e f t > < T a b I n d e x > 1 < / T a b I n d e x > < T o p > 2 4 . 5 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 T a b l e s \ T r a n s a c t i o n \ C o l u m n s \ I t e m 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 T a b l e s \ T r a n s a c t i o n \ C o l u m n s \ S t o c k   L e f t 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 T a b l e s \ T r a n s a c t i o n \ C o l u m n s \ T o t a l 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 T a b l e s \ T r a n s a c t i o n \ C o l u m n s \ I D  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 T a b l e s \ T r a n s a c t i o n \ M e a s u r e s \ S u m   o f   P r i c e 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 P r i c e 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 T a b l e s \ T r a n s a c t i o n \ M e a s u r e s \ S u m   o f   S t o c k 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 S t o c k 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 T a b l e s \ T r a n s a c t i o n \ M e a s u r e s \ S u m   o f   T o t a l 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 T o t a l 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 T a b l e s \ T r a n s a c t i o n \ H i e r a r c h i e s \ H i e r a r c h y 1 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 T a b l e s \ T r a n s a c t i o n \ H i e r a r c h y 1 \ A d d i t i o n a l 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 T a b l e s \ D e t a i l   P r o d u c t < / K e y > < / a : K e y > < a : V a l u e   i : t y p e = " D i a g r a m D i s p l a y N o d e V i e w S t a t e " > < H e i g h t > 2 2 7 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  P r o d u c t \ C o l u m n s \ T y p e 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 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  P r o d u c t \ C o l u m n s \ S t o c k 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 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  P r o d u c t \ C o l u m n s \ P u b l i s h e d  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  P r o d u c t \ C o l u m n s \ I D  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  P r o d u c t \ M e a s u r e s \ S u m   o f  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  P r o d u c t \ S u m   o f   S t o c k \ A d d i t i o n a l 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 T a b l e s \ D e t a i l   P r o d u c t \ M e a s u r e s \ S u m 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  P r o d u c t \ S u m 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 T a b l e s \ D e t a i l   P r o d u c t \ H i e r a r c h i e s \ H i e r a r c h y 1 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  P r o d u c t \ H i e r a r c h y 1 \ A d d i t i o n a l 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 R e l a t i o n s h i p s \ & l t ; T a b l e s \ T r a n s a c t i o n \ C o l u m n s \ C a t e g o r y & g t ; - & l t ; T a b l e s \ D e t a i l   P r o d u c t \ C o l u m n s \ I D   P r o d u c t & g t ; < / K e y > < / a : K e y > < a : V a l u e   i : t y p e = " D i a g r a m D i s p l a y L i n k V i e w S t a t e " > < A u t o m a t i o n P r o p e r t y H e l p e r T e x t > E n d   p o i n t   1 :   ( 3 6 4 , 1 8 4 ) .   E n d   p o i n t   2 :   ( 2 1 6 , 1 1 3 , 5 ) 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 3 6 4 < / b : _ x > < b : _ y > 1 8 4 < / b : _ y > < / b : P o i n t > < b : P o i n t > < b : _ x > 2 9 2 < / b : _ x > < b : _ y > 1 8 4 < / b : _ y > < / b : P o i n t > < b : P o i n t > < b : _ x > 2 9 0 < / b : _ x > < b : _ y > 1 8 2 < / b : _ y > < / b : P o i n t > < b : P o i n t > < b : _ x > 2 9 0 < / b : _ x > < b : _ y > 1 1 5 . 5 < / b : _ y > < / b : P o i n t > < b : P o i n t > < b : _ x > 2 8 8 < / b : _ x > < b : _ y > 1 1 3 . 5 < / b : _ y > < / b : P o i n t > < b : P o i n t > < b : _ x > 2 1 5 . 9 9 9 9 9 9 9 9 9 9 9 9 9 1 < / b : _ x > < b : _ y > 1 1 3 . 5 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 R e l a t i o n s h i p s \ & l t ; T a b l e s \ T r a n s a c t i o n \ C o l u m n s \ C a t e g o r y & g t ; - & l t ; T a b l e s \ D e t a i l   P r o d u c t \ C o l u m n s \ I D  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< / b : _ x > < b : _ y > 1 7 6 < / b : _ y > < / L a b e l L o c a t i o n > < L o c a t i o n   x m l n s : b = " h t t p : / / s c h e m a s . d a t a c o n t r a c t . o r g / 2 0 0 4 / 0 7 / S y s t e m . W i n d o w s " > < b : _ x > 3 8 0 < / b : _ x > < b : _ y > 1 8 4 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 R e l a t i o n s h i p s \ & l t ; T a b l e s \ T r a n s a c t i o n \ C o l u m n s \ C a t e g o r y & g t ; - & l t ; T a b l e s \ D e t a i l   P r o d u c t \ C o l u m n s \ I D  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 1 0 5 . 5 < / b : _ y > < / L a b e l L o c a t i o n > < L o c a t i o n   x m l n s : b = " h t t p : / / s c h e m a s . d a t a c o n t r a c t . o r g / 2 0 0 4 / 0 7 / S y s t e m . W i n d o w s " > < b : _ x > 1 9 9 . 9 9 9 9 9 9 9 9 9 9 9 9 9 1 < / b : _ x > < b : _ y > 1 1 3 . 5 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 R e l a t i o n s h i p s \ & l t ; T a b l e s \ T r a n s a c t i o n \ C o l u m n s \ C a t e g o r y & g t ; - & l t ; T a b l e s \ D e t a i l   P r o d u c t \ C o l u m n s \ I D  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 3 6 4 < / b : _ x > < b : _ y > 1 8 4 < / b : _ y > < / b : P o i n t > < b : P o i n t > < b : _ x > 2 9 2 < / b : _ x > < b : _ y > 1 8 4 < / b : _ y > < / b : P o i n t > < b : P o i n t > < b : _ x > 2 9 0 < / b : _ x > < b : _ y > 1 8 2 < / b : _ y > < / b : P o i n t > < b : P o i n t > < b : _ x > 2 9 0 < / b : _ x > < b : _ y > 1 1 5 . 5 < / b : _ y > < / b : P o i n t > < b : P o i n t > < b : _ x > 2 8 8 < / b : _ x > < b : _ y > 1 1 3 . 5 < / b : _ y > < / b : P o i n t > < b : P o i n t > < b : _ x > 2 1 5 . 9 9 9 9 9 9 9 9 9 9 9 9 9 1 < / b : _ x > < b : _ y > 1 1 3 . 5 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 2 0 2 0 - 0 1 - 1 5 T 1 4 : 1 6 : 4 9 . 9 1 8 3 7 9 7 + 0 7 : 0 0 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1A10BA2-2D26-4879-AD0A-20FA1E29DB1E}">
  <ds:schemaRefs/>
</ds:datastoreItem>
</file>

<file path=customXml/itemProps10.xml><?xml version="1.0" encoding="utf-8"?>
<ds:datastoreItem xmlns:ds="http://schemas.openxmlformats.org/officeDocument/2006/customXml" ds:itemID="{75FCA6AE-32F9-4811-A1A1-A9A57077115F}">
  <ds:schemaRefs/>
</ds:datastoreItem>
</file>

<file path=customXml/itemProps11.xml><?xml version="1.0" encoding="utf-8"?>
<ds:datastoreItem xmlns:ds="http://schemas.openxmlformats.org/officeDocument/2006/customXml" ds:itemID="{9BD989E8-8177-4E18-AC33-290D1FF2FB8F}">
  <ds:schemaRefs/>
</ds:datastoreItem>
</file>

<file path=customXml/itemProps12.xml><?xml version="1.0" encoding="utf-8"?>
<ds:datastoreItem xmlns:ds="http://schemas.openxmlformats.org/officeDocument/2006/customXml" ds:itemID="{CCB2444E-395D-4C5B-A62A-E9215B07F8C7}">
  <ds:schemaRefs/>
</ds:datastoreItem>
</file>

<file path=customXml/itemProps13.xml><?xml version="1.0" encoding="utf-8"?>
<ds:datastoreItem xmlns:ds="http://schemas.openxmlformats.org/officeDocument/2006/customXml" ds:itemID="{69E56435-7920-4272-9BC4-88585308269B}">
  <ds:schemaRefs/>
</ds:datastoreItem>
</file>

<file path=customXml/itemProps14.xml><?xml version="1.0" encoding="utf-8"?>
<ds:datastoreItem xmlns:ds="http://schemas.openxmlformats.org/officeDocument/2006/customXml" ds:itemID="{22B81B99-2940-423B-BAC8-C5F81D5D4F02}">
  <ds:schemaRefs/>
</ds:datastoreItem>
</file>

<file path=customXml/itemProps15.xml><?xml version="1.0" encoding="utf-8"?>
<ds:datastoreItem xmlns:ds="http://schemas.openxmlformats.org/officeDocument/2006/customXml" ds:itemID="{5E6E62F3-022F-4D62-B190-37EB52BCAD04}">
  <ds:schemaRefs/>
</ds:datastoreItem>
</file>

<file path=customXml/itemProps16.xml><?xml version="1.0" encoding="utf-8"?>
<ds:datastoreItem xmlns:ds="http://schemas.openxmlformats.org/officeDocument/2006/customXml" ds:itemID="{242FB16E-C945-481A-A291-5A20722E843E}">
  <ds:schemaRefs/>
</ds:datastoreItem>
</file>

<file path=customXml/itemProps17.xml><?xml version="1.0" encoding="utf-8"?>
<ds:datastoreItem xmlns:ds="http://schemas.openxmlformats.org/officeDocument/2006/customXml" ds:itemID="{1DB85E43-1565-4780-917F-76F8C59EF4C0}">
  <ds:schemaRefs/>
</ds:datastoreItem>
</file>

<file path=customXml/itemProps18.xml><?xml version="1.0" encoding="utf-8"?>
<ds:datastoreItem xmlns:ds="http://schemas.openxmlformats.org/officeDocument/2006/customXml" ds:itemID="{5CAE197E-CE63-4488-BF41-24D5195F0B06}">
  <ds:schemaRefs/>
</ds:datastoreItem>
</file>

<file path=customXml/itemProps2.xml><?xml version="1.0" encoding="utf-8"?>
<ds:datastoreItem xmlns:ds="http://schemas.openxmlformats.org/officeDocument/2006/customXml" ds:itemID="{90E42CA5-F247-4438-82D0-4540D810E561}">
  <ds:schemaRefs/>
</ds:datastoreItem>
</file>

<file path=customXml/itemProps3.xml><?xml version="1.0" encoding="utf-8"?>
<ds:datastoreItem xmlns:ds="http://schemas.openxmlformats.org/officeDocument/2006/customXml" ds:itemID="{EA35240E-5E31-4AB6-B01C-C2EA29BD0871}">
  <ds:schemaRefs/>
</ds:datastoreItem>
</file>

<file path=customXml/itemProps4.xml><?xml version="1.0" encoding="utf-8"?>
<ds:datastoreItem xmlns:ds="http://schemas.openxmlformats.org/officeDocument/2006/customXml" ds:itemID="{EB107157-D8F5-468D-97BC-B07C44D94EE0}">
  <ds:schemaRefs/>
</ds:datastoreItem>
</file>

<file path=customXml/itemProps5.xml><?xml version="1.0" encoding="utf-8"?>
<ds:datastoreItem xmlns:ds="http://schemas.openxmlformats.org/officeDocument/2006/customXml" ds:itemID="{1515115A-7F37-4E87-81FC-AFABF836BCC1}">
  <ds:schemaRefs/>
</ds:datastoreItem>
</file>

<file path=customXml/itemProps6.xml><?xml version="1.0" encoding="utf-8"?>
<ds:datastoreItem xmlns:ds="http://schemas.openxmlformats.org/officeDocument/2006/customXml" ds:itemID="{225287E3-DC77-4260-93BF-24E39EB37403}">
  <ds:schemaRefs/>
</ds:datastoreItem>
</file>

<file path=customXml/itemProps7.xml><?xml version="1.0" encoding="utf-8"?>
<ds:datastoreItem xmlns:ds="http://schemas.openxmlformats.org/officeDocument/2006/customXml" ds:itemID="{B4DB4A9B-E32A-4956-B6D2-311FAEFFECFF}">
  <ds:schemaRefs/>
</ds:datastoreItem>
</file>

<file path=customXml/itemProps8.xml><?xml version="1.0" encoding="utf-8"?>
<ds:datastoreItem xmlns:ds="http://schemas.openxmlformats.org/officeDocument/2006/customXml" ds:itemID="{F8357DB8-CDB0-47BE-920A-F5C1082EC503}">
  <ds:schemaRefs/>
</ds:datastoreItem>
</file>

<file path=customXml/itemProps9.xml><?xml version="1.0" encoding="utf-8"?>
<ds:datastoreItem xmlns:ds="http://schemas.openxmlformats.org/officeDocument/2006/customXml" ds:itemID="{C679C701-4635-446E-91AE-11AF8CA3C0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List</vt:lpstr>
      <vt:lpstr>Detail Product</vt:lpstr>
      <vt:lpstr>Pivot Product</vt:lpstr>
      <vt:lpstr>Purchase</vt:lpstr>
      <vt:lpstr>Transaction</vt:lpstr>
      <vt:lpstr>Power Pivot Diagrams</vt:lpstr>
      <vt:lpstr>Pivot Profit Transaction</vt:lpstr>
      <vt:lpstr>Scenario Summary</vt:lpstr>
      <vt:lpstr>Schema Installment</vt:lpstr>
      <vt:lpstr>Pivot Schema Installment 12</vt:lpstr>
      <vt:lpstr>Pivot Schema Installment 9</vt:lpstr>
      <vt:lpstr>Profit Isntallment</vt:lpstr>
      <vt:lpstr>Pivot Schema Installment</vt:lpstr>
      <vt:lpstr>DATA STORE 2019-2021</vt:lpstr>
      <vt:lpstr>Pivot-Charrt Store 2019-2021</vt:lpstr>
      <vt:lpstr>Contoh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habibi</cp:lastModifiedBy>
  <dcterms:created xsi:type="dcterms:W3CDTF">2020-01-07T04:00:34Z</dcterms:created>
  <dcterms:modified xsi:type="dcterms:W3CDTF">2021-07-30T14:35:10Z</dcterms:modified>
</cp:coreProperties>
</file>